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New 7th Sea\"/>
    </mc:Choice>
  </mc:AlternateContent>
  <bookViews>
    <workbookView xWindow="15975" yWindow="45" windowWidth="12765" windowHeight="12660" activeTab="1"/>
    <workbookView xWindow="0" yWindow="0" windowWidth="28800" windowHeight="12435"/>
    <workbookView xWindow="0" yWindow="0" windowWidth="28800" windowHeight="12435" activeTab="3"/>
  </bookViews>
  <sheets>
    <sheet name="Welcome" sheetId="5" r:id="rId1"/>
    <sheet name="builder" sheetId="1" r:id="rId2"/>
    <sheet name="advantages" sheetId="8" state="hidden" r:id="rId3"/>
    <sheet name="print" sheetId="3" r:id="rId4"/>
    <sheet name="sheet" sheetId="2" r:id="rId5"/>
    <sheet name="adv shuffle" sheetId="4" state="hidden" r:id="rId6"/>
    <sheet name="styles" sheetId="6" state="hidden" r:id="rId7"/>
    <sheet name="backgrounds" sheetId="7" state="hidden" r:id="rId8"/>
  </sheets>
  <calcPr calcId="152511"/>
</workbook>
</file>

<file path=xl/calcChain.xml><?xml version="1.0" encoding="utf-8"?>
<calcChain xmlns="http://schemas.openxmlformats.org/spreadsheetml/2006/main">
  <c r="B30" i="1" l="1"/>
  <c r="B60" i="1" s="1"/>
  <c r="B31" i="1"/>
  <c r="B61" i="1" s="1"/>
  <c r="E30" i="1"/>
  <c r="E31" i="1"/>
  <c r="B32" i="1"/>
  <c r="E32" i="1"/>
  <c r="F69" i="1"/>
  <c r="B10" i="4"/>
  <c r="B9" i="4"/>
  <c r="I12" i="4"/>
  <c r="L12" i="4"/>
  <c r="I16" i="4"/>
  <c r="L16" i="4"/>
  <c r="I20" i="4"/>
  <c r="L20" i="4" s="1"/>
  <c r="B8" i="4"/>
  <c r="B11" i="4"/>
  <c r="B12" i="4"/>
  <c r="B13" i="4"/>
  <c r="B14" i="4"/>
  <c r="B15" i="4"/>
  <c r="B16" i="4"/>
  <c r="B17" i="4"/>
  <c r="B18" i="4"/>
  <c r="B19" i="4"/>
  <c r="B20" i="4"/>
  <c r="B21" i="4"/>
  <c r="B22" i="4"/>
  <c r="B23" i="4"/>
  <c r="D105" i="8"/>
  <c r="D134" i="8"/>
  <c r="C89" i="6"/>
  <c r="C88" i="6"/>
  <c r="C87" i="6"/>
  <c r="C90" i="6"/>
  <c r="T7" i="1"/>
  <c r="Z53" i="1" s="1"/>
  <c r="B43" i="4"/>
  <c r="C43" i="4"/>
  <c r="B44" i="4"/>
  <c r="C44" i="4"/>
  <c r="B48" i="4"/>
  <c r="C48" i="4"/>
  <c r="B34" i="4"/>
  <c r="C34" i="4" s="1"/>
  <c r="B35" i="4"/>
  <c r="C35" i="4" s="1"/>
  <c r="B36" i="4"/>
  <c r="C36" i="4"/>
  <c r="S126" i="1"/>
  <c r="V142" i="1"/>
  <c r="V147" i="1"/>
  <c r="V146" i="1"/>
  <c r="V145" i="1"/>
  <c r="V144" i="1"/>
  <c r="V143" i="1"/>
  <c r="I99" i="8"/>
  <c r="D106" i="8"/>
  <c r="T55" i="1"/>
  <c r="D10" i="8"/>
  <c r="D131" i="8"/>
  <c r="D130" i="8"/>
  <c r="D123" i="8"/>
  <c r="D118" i="8"/>
  <c r="D111" i="8"/>
  <c r="D109" i="8"/>
  <c r="D98" i="8"/>
  <c r="D97" i="8"/>
  <c r="D84" i="8"/>
  <c r="D79" i="8"/>
  <c r="D76" i="8"/>
  <c r="D75" i="8"/>
  <c r="D72" i="8"/>
  <c r="D71" i="8"/>
  <c r="D65" i="8"/>
  <c r="D63" i="8"/>
  <c r="D62" i="8"/>
  <c r="D58" i="8"/>
  <c r="D56" i="8"/>
  <c r="D55" i="8"/>
  <c r="D54" i="8"/>
  <c r="D36" i="8"/>
  <c r="D34" i="8"/>
  <c r="D22" i="8"/>
  <c r="D13" i="8"/>
  <c r="P68" i="1"/>
  <c r="P69" i="1"/>
  <c r="P70" i="1"/>
  <c r="P71" i="1"/>
  <c r="P72" i="1"/>
  <c r="P73" i="1"/>
  <c r="P74" i="1"/>
  <c r="P75" i="1"/>
  <c r="P76" i="1"/>
  <c r="P77" i="1"/>
  <c r="P67" i="1"/>
  <c r="D68" i="1"/>
  <c r="D69" i="1"/>
  <c r="D70" i="1"/>
  <c r="D71" i="1"/>
  <c r="D72" i="1"/>
  <c r="D73" i="1"/>
  <c r="D74" i="1"/>
  <c r="D75" i="1"/>
  <c r="D67" i="1"/>
  <c r="D110" i="8"/>
  <c r="D135" i="8"/>
  <c r="D133" i="8"/>
  <c r="D132" i="8"/>
  <c r="D129" i="8"/>
  <c r="D128" i="8"/>
  <c r="D127" i="8"/>
  <c r="D126" i="8"/>
  <c r="D125" i="8"/>
  <c r="D124" i="8"/>
  <c r="D122" i="8"/>
  <c r="D121" i="8"/>
  <c r="D120" i="8"/>
  <c r="D117" i="8"/>
  <c r="D116" i="8"/>
  <c r="D115" i="8"/>
  <c r="D114" i="8"/>
  <c r="D113" i="8"/>
  <c r="D112" i="8"/>
  <c r="D108" i="8"/>
  <c r="D107" i="8"/>
  <c r="D104" i="8"/>
  <c r="D103" i="8"/>
  <c r="D102" i="8"/>
  <c r="D101" i="8"/>
  <c r="D100" i="8"/>
  <c r="D99" i="8"/>
  <c r="D96" i="8"/>
  <c r="D95" i="8"/>
  <c r="D94" i="8"/>
  <c r="D93" i="8"/>
  <c r="D92" i="8"/>
  <c r="D91" i="8"/>
  <c r="D90" i="8"/>
  <c r="D89" i="8"/>
  <c r="D88" i="8"/>
  <c r="D87" i="8"/>
  <c r="D86" i="8"/>
  <c r="D85" i="8"/>
  <c r="D83" i="8"/>
  <c r="D82" i="8"/>
  <c r="D81" i="8"/>
  <c r="D80" i="8"/>
  <c r="D78" i="8"/>
  <c r="D77" i="8"/>
  <c r="D74" i="8"/>
  <c r="D73" i="8"/>
  <c r="D70" i="8"/>
  <c r="D69" i="8"/>
  <c r="D68" i="8"/>
  <c r="D67" i="8"/>
  <c r="D66" i="8"/>
  <c r="D64" i="8"/>
  <c r="D61" i="8"/>
  <c r="D60" i="8"/>
  <c r="D59" i="8"/>
  <c r="D57" i="8"/>
  <c r="D53" i="8"/>
  <c r="D52" i="8"/>
  <c r="D51" i="8"/>
  <c r="D50" i="8"/>
  <c r="D49" i="8"/>
  <c r="D48" i="8"/>
  <c r="D47" i="8"/>
  <c r="D46" i="8"/>
  <c r="D45" i="8"/>
  <c r="D44" i="8"/>
  <c r="D43" i="8"/>
  <c r="D42" i="8"/>
  <c r="D41" i="8"/>
  <c r="D40" i="8"/>
  <c r="D39" i="8"/>
  <c r="D38" i="8"/>
  <c r="D37" i="8"/>
  <c r="D35" i="8"/>
  <c r="D32" i="8"/>
  <c r="D31" i="8"/>
  <c r="D30" i="8"/>
  <c r="D29" i="8"/>
  <c r="D28" i="8"/>
  <c r="D27" i="8"/>
  <c r="D26" i="8"/>
  <c r="D25" i="8"/>
  <c r="D24" i="8"/>
  <c r="D23" i="8"/>
  <c r="D21" i="8"/>
  <c r="D20" i="8"/>
  <c r="D19" i="8"/>
  <c r="D18" i="8"/>
  <c r="D17" i="8"/>
  <c r="D16" i="8"/>
  <c r="D14" i="8"/>
  <c r="D12" i="8"/>
  <c r="D11" i="8"/>
  <c r="D9" i="8"/>
  <c r="D8" i="8"/>
  <c r="D7" i="8"/>
  <c r="D6" i="8"/>
  <c r="B36" i="3"/>
  <c r="C60" i="2" s="1"/>
  <c r="B30" i="3"/>
  <c r="AH21" i="1" s="1"/>
  <c r="E39" i="1"/>
  <c r="B39" i="1"/>
  <c r="E38" i="1"/>
  <c r="B38" i="1"/>
  <c r="E37" i="1"/>
  <c r="B37" i="1"/>
  <c r="E36" i="1"/>
  <c r="B36" i="1"/>
  <c r="E35" i="1"/>
  <c r="B35" i="1"/>
  <c r="F24" i="1"/>
  <c r="X14" i="2" s="1"/>
  <c r="B24" i="1"/>
  <c r="B32" i="3" s="1"/>
  <c r="I108" i="1"/>
  <c r="C11" i="3"/>
  <c r="B12" i="3"/>
  <c r="K116" i="6"/>
  <c r="K118" i="6"/>
  <c r="R5" i="3"/>
  <c r="Q41" i="3"/>
  <c r="Q43" i="3"/>
  <c r="D15" i="6"/>
  <c r="G109" i="1"/>
  <c r="P11" i="3"/>
  <c r="G95" i="1"/>
  <c r="AH26" i="1"/>
  <c r="AH20" i="1"/>
  <c r="E106" i="1"/>
  <c r="M32" i="4"/>
  <c r="N32" i="4"/>
  <c r="M33" i="4"/>
  <c r="N33" i="4"/>
  <c r="M31" i="4"/>
  <c r="N31" i="4" s="1"/>
  <c r="X3" i="2"/>
  <c r="B59" i="2" s="1"/>
  <c r="X11" i="2"/>
  <c r="B60" i="2" s="1"/>
  <c r="Q3" i="4"/>
  <c r="Q4" i="4" s="1"/>
  <c r="Q5" i="4"/>
  <c r="Q6" i="4" s="1"/>
  <c r="Q7" i="4" s="1"/>
  <c r="Q8" i="4" s="1"/>
  <c r="Q9" i="4" s="1"/>
  <c r="Q10" i="4" s="1"/>
  <c r="Q11" i="4" s="1"/>
  <c r="Q12" i="4" s="1"/>
  <c r="Q13" i="4" s="1"/>
  <c r="Q14" i="4" s="1"/>
  <c r="Q15" i="4" s="1"/>
  <c r="Q16" i="4" s="1"/>
  <c r="Q17" i="4" s="1"/>
  <c r="Q18" i="4" s="1"/>
  <c r="Q19" i="4" s="1"/>
  <c r="Q20" i="4" s="1"/>
  <c r="Q21" i="4" s="1"/>
  <c r="Q22" i="4" s="1"/>
  <c r="Q23" i="4" s="1"/>
  <c r="Q24" i="4" s="1"/>
  <c r="Q25" i="4" s="1"/>
  <c r="Q26" i="4" s="1"/>
  <c r="Q27" i="4" s="1"/>
  <c r="Q28" i="4" s="1"/>
  <c r="N7" i="3"/>
  <c r="S20" i="3"/>
  <c r="S19" i="3"/>
  <c r="C44" i="2"/>
  <c r="C43" i="2"/>
  <c r="X53" i="2"/>
  <c r="C47" i="2"/>
  <c r="C46" i="2"/>
  <c r="C45" i="2"/>
  <c r="C20" i="2"/>
  <c r="C17" i="2"/>
  <c r="C15" i="2"/>
  <c r="C13" i="2"/>
  <c r="C10" i="2"/>
  <c r="C7" i="2"/>
  <c r="C4" i="2"/>
  <c r="P86" i="1"/>
  <c r="B53" i="2" s="1"/>
  <c r="C14" i="3"/>
  <c r="B15" i="3"/>
  <c r="B35" i="2" s="1"/>
  <c r="O76" i="1"/>
  <c r="O100" i="1"/>
  <c r="E100" i="1"/>
  <c r="C32" i="2" s="1"/>
  <c r="E99" i="1"/>
  <c r="C25" i="2" s="1"/>
  <c r="M26" i="1"/>
  <c r="M22" i="1"/>
  <c r="G99" i="1"/>
  <c r="Q119" i="3"/>
  <c r="Q181" i="3"/>
  <c r="B27" i="2"/>
  <c r="E108" i="1"/>
  <c r="E107" i="1"/>
  <c r="G41" i="1"/>
  <c r="E10" i="1"/>
  <c r="F10" i="1" s="1"/>
  <c r="G8" i="1"/>
  <c r="Q74" i="3"/>
  <c r="S23" i="3"/>
  <c r="S22" i="3"/>
  <c r="S21" i="3"/>
  <c r="Q49" i="3"/>
  <c r="B26" i="3"/>
  <c r="N6" i="3"/>
  <c r="Q100" i="3"/>
  <c r="B35" i="3"/>
  <c r="B29" i="3"/>
  <c r="C8" i="3"/>
  <c r="C7" i="3"/>
  <c r="C6" i="3"/>
  <c r="C5" i="3"/>
  <c r="C4" i="3"/>
  <c r="C3" i="3"/>
  <c r="C2" i="3"/>
  <c r="B101" i="3" s="1"/>
  <c r="B50" i="3"/>
  <c r="E11" i="1"/>
  <c r="F11" i="1"/>
  <c r="P11" i="1" s="1"/>
  <c r="E12" i="1"/>
  <c r="F12" i="1" s="1"/>
  <c r="C21" i="3" s="1"/>
  <c r="E13" i="1"/>
  <c r="F13" i="1" s="1"/>
  <c r="P13" i="1" s="1"/>
  <c r="M13" i="2" s="1"/>
  <c r="E14" i="1"/>
  <c r="F14" i="1" s="1"/>
  <c r="T57" i="1"/>
  <c r="T56" i="1"/>
  <c r="E11" i="3"/>
  <c r="E14" i="3"/>
  <c r="B75" i="3" l="1"/>
  <c r="N13" i="2"/>
  <c r="O13" i="2"/>
  <c r="P12" i="1"/>
  <c r="M10" i="2" s="1"/>
  <c r="C22" i="3"/>
  <c r="B38" i="3"/>
  <c r="AH27" i="1"/>
  <c r="D60" i="1"/>
  <c r="D61" i="1"/>
  <c r="B3" i="4"/>
  <c r="I3" i="4" s="1"/>
  <c r="L3" i="4" s="1"/>
  <c r="C47" i="1"/>
  <c r="E47" i="1" s="1"/>
  <c r="O47" i="1" s="1"/>
  <c r="G31" i="2" s="1"/>
  <c r="X6" i="2"/>
  <c r="Z49" i="1"/>
  <c r="C59" i="2"/>
  <c r="C50" i="1"/>
  <c r="E50" i="1" s="1"/>
  <c r="O50" i="1" s="1"/>
  <c r="Q21" i="2" s="1"/>
  <c r="C56" i="1"/>
  <c r="E56" i="1" s="1"/>
  <c r="O56" i="1" s="1"/>
  <c r="U33" i="2" s="1"/>
  <c r="C52" i="1"/>
  <c r="E52" i="1" s="1"/>
  <c r="O52" i="1" s="1"/>
  <c r="T25" i="2" s="1"/>
  <c r="C53" i="1"/>
  <c r="E53" i="1" s="1"/>
  <c r="O53" i="1" s="1"/>
  <c r="T27" i="2" s="1"/>
  <c r="Z45" i="1"/>
  <c r="B64" i="1"/>
  <c r="C43" i="1"/>
  <c r="E43" i="1" s="1"/>
  <c r="O43" i="1" s="1"/>
  <c r="J23" i="2" s="1"/>
  <c r="Z47" i="1"/>
  <c r="C51" i="1"/>
  <c r="E51" i="1" s="1"/>
  <c r="O51" i="1" s="1"/>
  <c r="S23" i="2" s="1"/>
  <c r="C42" i="1"/>
  <c r="E42" i="1" s="1"/>
  <c r="O42" i="1" s="1"/>
  <c r="G21" i="2" s="1"/>
  <c r="C49" i="1"/>
  <c r="E49" i="1" s="1"/>
  <c r="O49" i="1" s="1"/>
  <c r="I35" i="2" s="1"/>
  <c r="C44" i="1"/>
  <c r="E44" i="1" s="1"/>
  <c r="O44" i="1" s="1"/>
  <c r="H25" i="2" s="1"/>
  <c r="Z52" i="1"/>
  <c r="C57" i="1"/>
  <c r="E57" i="1" s="1"/>
  <c r="O57" i="1" s="1"/>
  <c r="U35" i="2" s="1"/>
  <c r="C46" i="1"/>
  <c r="E46" i="1" s="1"/>
  <c r="O46" i="1" s="1"/>
  <c r="S52" i="1"/>
  <c r="T52" i="1" s="1"/>
  <c r="C55" i="1"/>
  <c r="E55" i="1" s="1"/>
  <c r="O55" i="1" s="1"/>
  <c r="U31" i="2" s="1"/>
  <c r="B65" i="1"/>
  <c r="B7" i="4" s="1"/>
  <c r="S53" i="1"/>
  <c r="T53" i="1" s="1"/>
  <c r="O10" i="2"/>
  <c r="N10" i="2"/>
  <c r="C19" i="3"/>
  <c r="P10" i="1"/>
  <c r="M7" i="2"/>
  <c r="O7" i="2"/>
  <c r="N7" i="2"/>
  <c r="O31" i="4"/>
  <c r="P31" i="4" s="1"/>
  <c r="O33" i="4"/>
  <c r="P33" i="4" s="1"/>
  <c r="O32" i="4"/>
  <c r="P32" i="4" s="1"/>
  <c r="P14" i="1"/>
  <c r="C23" i="3"/>
  <c r="T28" i="4"/>
  <c r="Q29" i="4"/>
  <c r="C48" i="1"/>
  <c r="E48" i="1" s="1"/>
  <c r="O48" i="1" s="1"/>
  <c r="C45" i="1"/>
  <c r="E45" i="1" s="1"/>
  <c r="O45" i="1" s="1"/>
  <c r="C20" i="3"/>
  <c r="B120" i="3"/>
  <c r="Z48" i="1"/>
  <c r="G103" i="1"/>
  <c r="I19" i="4"/>
  <c r="L19" i="4" s="1"/>
  <c r="I11" i="4"/>
  <c r="L11" i="4" s="1"/>
  <c r="Z46" i="1"/>
  <c r="D119" i="8"/>
  <c r="D15" i="8"/>
  <c r="Z50" i="1"/>
  <c r="I18" i="4"/>
  <c r="L18" i="4" s="1"/>
  <c r="I8" i="4"/>
  <c r="L8" i="4" s="1"/>
  <c r="C54" i="1"/>
  <c r="E54" i="1" s="1"/>
  <c r="O54" i="1" s="1"/>
  <c r="I17" i="4"/>
  <c r="L17" i="4" s="1"/>
  <c r="I9" i="4"/>
  <c r="L9" i="4" s="1"/>
  <c r="I23" i="4"/>
  <c r="L23" i="4" s="1"/>
  <c r="I15" i="4"/>
  <c r="L15" i="4" s="1"/>
  <c r="Z51" i="1"/>
  <c r="V20" i="1" s="1"/>
  <c r="I21" i="4"/>
  <c r="L21" i="4" s="1"/>
  <c r="I13" i="4"/>
  <c r="L13" i="4" s="1"/>
  <c r="I10" i="4"/>
  <c r="L10" i="4" s="1"/>
  <c r="B2" i="4"/>
  <c r="B63" i="1"/>
  <c r="I22" i="4"/>
  <c r="L22" i="4" s="1"/>
  <c r="I14" i="4"/>
  <c r="L14" i="4" s="1"/>
  <c r="B62" i="1"/>
  <c r="B112" i="1" s="1"/>
  <c r="S51" i="1"/>
  <c r="T51" i="1" s="1"/>
  <c r="H24" i="3" l="1"/>
  <c r="T33" i="2"/>
  <c r="H31" i="2"/>
  <c r="I31" i="2"/>
  <c r="J31" i="2"/>
  <c r="F31" i="2"/>
  <c r="U27" i="2"/>
  <c r="S25" i="2"/>
  <c r="J35" i="2"/>
  <c r="S33" i="2"/>
  <c r="U25" i="2"/>
  <c r="Q25" i="2"/>
  <c r="R33" i="2"/>
  <c r="H21" i="3"/>
  <c r="Q27" i="2"/>
  <c r="H23" i="2"/>
  <c r="P26" i="3"/>
  <c r="S27" i="2"/>
  <c r="G23" i="2"/>
  <c r="H35" i="2"/>
  <c r="F23" i="2"/>
  <c r="P25" i="3"/>
  <c r="H20" i="3"/>
  <c r="Q33" i="2"/>
  <c r="F35" i="2"/>
  <c r="P21" i="3"/>
  <c r="I23" i="2"/>
  <c r="G25" i="2"/>
  <c r="R25" i="2"/>
  <c r="G35" i="2"/>
  <c r="P22" i="3"/>
  <c r="H26" i="3"/>
  <c r="R27" i="2"/>
  <c r="F25" i="2"/>
  <c r="H30" i="1"/>
  <c r="G59" i="1" s="1"/>
  <c r="J25" i="2"/>
  <c r="S21" i="2"/>
  <c r="U21" i="2"/>
  <c r="R21" i="2"/>
  <c r="B6" i="4"/>
  <c r="I6" i="4" s="1"/>
  <c r="L6" i="4" s="1"/>
  <c r="D64" i="1"/>
  <c r="P19" i="3"/>
  <c r="I25" i="2"/>
  <c r="P20" i="3"/>
  <c r="T21" i="2"/>
  <c r="H19" i="3"/>
  <c r="Q35" i="2"/>
  <c r="T35" i="2"/>
  <c r="F21" i="2"/>
  <c r="R35" i="2"/>
  <c r="I21" i="2"/>
  <c r="S35" i="2"/>
  <c r="J21" i="2"/>
  <c r="H21" i="2"/>
  <c r="F29" i="2"/>
  <c r="H29" i="2"/>
  <c r="J29" i="2"/>
  <c r="H23" i="3"/>
  <c r="G29" i="2"/>
  <c r="I29" i="2"/>
  <c r="R23" i="2"/>
  <c r="Q23" i="2"/>
  <c r="T23" i="2"/>
  <c r="U23" i="2"/>
  <c r="D65" i="1"/>
  <c r="D138" i="8"/>
  <c r="P24" i="3"/>
  <c r="T31" i="2"/>
  <c r="D137" i="8"/>
  <c r="R31" i="2"/>
  <c r="Q31" i="2"/>
  <c r="S31" i="2"/>
  <c r="F112" i="1"/>
  <c r="I7" i="4"/>
  <c r="L7" i="4" s="1"/>
  <c r="H33" i="2"/>
  <c r="H25" i="3"/>
  <c r="F33" i="2"/>
  <c r="I33" i="2"/>
  <c r="G33" i="2"/>
  <c r="J33" i="2"/>
  <c r="N4" i="2"/>
  <c r="M4" i="2"/>
  <c r="O4" i="2"/>
  <c r="P15" i="1"/>
  <c r="Q30" i="4"/>
  <c r="B4" i="4"/>
  <c r="C93" i="1"/>
  <c r="G107" i="1"/>
  <c r="N11" i="3" s="1"/>
  <c r="D91" i="1"/>
  <c r="B93" i="1"/>
  <c r="F7" i="3" s="1"/>
  <c r="B92" i="1"/>
  <c r="D33" i="8"/>
  <c r="D62" i="1" s="1"/>
  <c r="F105" i="1"/>
  <c r="E92" i="1"/>
  <c r="D92" i="1"/>
  <c r="B107" i="3"/>
  <c r="X51" i="2"/>
  <c r="E2" i="4"/>
  <c r="D2" i="4"/>
  <c r="F2" i="4"/>
  <c r="I2" i="4"/>
  <c r="L2" i="4" s="1"/>
  <c r="G2" i="4"/>
  <c r="B110" i="3"/>
  <c r="X50" i="2"/>
  <c r="F67" i="1"/>
  <c r="O15" i="2"/>
  <c r="N15" i="2"/>
  <c r="M15" i="2"/>
  <c r="B104" i="3"/>
  <c r="X52" i="2"/>
  <c r="D63" i="1"/>
  <c r="B5" i="4"/>
  <c r="T29" i="2"/>
  <c r="U29" i="2"/>
  <c r="S29" i="2"/>
  <c r="Q29" i="2"/>
  <c r="R29" i="2"/>
  <c r="P23" i="3"/>
  <c r="G27" i="2"/>
  <c r="I27" i="2"/>
  <c r="F27" i="2"/>
  <c r="H22" i="3"/>
  <c r="H27" i="2"/>
  <c r="J27" i="2"/>
  <c r="B47" i="3" l="1"/>
  <c r="B49" i="3"/>
  <c r="B98" i="3"/>
  <c r="AJ115" i="1" s="1"/>
  <c r="C2" i="4"/>
  <c r="H2" i="4" s="1"/>
  <c r="F3" i="4"/>
  <c r="I4" i="4"/>
  <c r="L4" i="4" s="1"/>
  <c r="D104" i="3"/>
  <c r="B113" i="3"/>
  <c r="B105" i="3"/>
  <c r="S29" i="4" s="1"/>
  <c r="B115" i="3"/>
  <c r="R29" i="4"/>
  <c r="T29" i="4" s="1"/>
  <c r="B117" i="3"/>
  <c r="I5" i="4"/>
  <c r="L5" i="4" s="1"/>
  <c r="D3" i="4"/>
  <c r="F8" i="3"/>
  <c r="F6" i="3"/>
  <c r="R30" i="4"/>
  <c r="T30" i="4" s="1"/>
  <c r="D107" i="3"/>
  <c r="B108" i="3"/>
  <c r="S30" i="4" s="1"/>
  <c r="G3" i="4"/>
  <c r="B111" i="3"/>
  <c r="S31" i="4" s="1"/>
  <c r="D110" i="3"/>
  <c r="R31" i="4"/>
  <c r="T31" i="4" s="1"/>
  <c r="E3" i="4"/>
  <c r="E4" i="4" s="1"/>
  <c r="G117" i="1"/>
  <c r="H32" i="4"/>
  <c r="I32" i="4" s="1"/>
  <c r="H36" i="4"/>
  <c r="I36" i="4" s="1"/>
  <c r="F114" i="1"/>
  <c r="V126" i="1"/>
  <c r="V118" i="1"/>
  <c r="S122" i="1"/>
  <c r="H33" i="4"/>
  <c r="I33" i="4" s="1"/>
  <c r="H37" i="4"/>
  <c r="I37" i="4" s="1"/>
  <c r="T122" i="1"/>
  <c r="E114" i="1"/>
  <c r="V124" i="1"/>
  <c r="V116" i="1"/>
  <c r="S120" i="1"/>
  <c r="H38" i="4"/>
  <c r="I38" i="4" s="1"/>
  <c r="H43" i="4"/>
  <c r="I43" i="4" s="1"/>
  <c r="H48" i="4"/>
  <c r="I48" i="4" s="1"/>
  <c r="V128" i="1"/>
  <c r="V117" i="1"/>
  <c r="H49" i="4"/>
  <c r="I49" i="4" s="1"/>
  <c r="I114" i="1"/>
  <c r="K123" i="1"/>
  <c r="V127" i="1"/>
  <c r="V115" i="1"/>
  <c r="S121" i="1"/>
  <c r="H39" i="4"/>
  <c r="I39" i="4" s="1"/>
  <c r="H44" i="4"/>
  <c r="I44" i="4" s="1"/>
  <c r="H50" i="4"/>
  <c r="I50" i="4" s="1"/>
  <c r="E115" i="1"/>
  <c r="L63" i="6" s="1"/>
  <c r="G114" i="1"/>
  <c r="E123" i="1"/>
  <c r="V125" i="1"/>
  <c r="V114" i="1"/>
  <c r="S119" i="1"/>
  <c r="G132" i="1"/>
  <c r="H45" i="4"/>
  <c r="I45" i="4" s="1"/>
  <c r="H34" i="4"/>
  <c r="I34" i="4" s="1"/>
  <c r="V123" i="1"/>
  <c r="V113" i="1"/>
  <c r="B125" i="1"/>
  <c r="H40" i="4"/>
  <c r="I40" i="4" s="1"/>
  <c r="H46" i="4"/>
  <c r="I46" i="4" s="1"/>
  <c r="H51" i="4"/>
  <c r="I51" i="4" s="1"/>
  <c r="G115" i="1"/>
  <c r="V122" i="1"/>
  <c r="V112" i="1"/>
  <c r="B117" i="1"/>
  <c r="H41" i="4"/>
  <c r="I41" i="4" s="1"/>
  <c r="B123" i="3"/>
  <c r="H35" i="4"/>
  <c r="I35" i="4" s="1"/>
  <c r="T123" i="1"/>
  <c r="V131" i="1"/>
  <c r="V121" i="1"/>
  <c r="B114" i="1"/>
  <c r="H42" i="4"/>
  <c r="I42" i="4" s="1"/>
  <c r="H47" i="4"/>
  <c r="I47" i="4" s="1"/>
  <c r="F115" i="1"/>
  <c r="Q63" i="6" s="1"/>
  <c r="V130" i="1"/>
  <c r="V120" i="1"/>
  <c r="T131" i="1"/>
  <c r="H31" i="4"/>
  <c r="I31" i="4" s="1"/>
  <c r="I115" i="1"/>
  <c r="V129" i="1"/>
  <c r="V119" i="1"/>
  <c r="T124" i="1"/>
  <c r="T129" i="1"/>
  <c r="T127" i="1"/>
  <c r="F124" i="3"/>
  <c r="T128" i="1"/>
  <c r="D124" i="3"/>
  <c r="T130" i="1"/>
  <c r="T125" i="1"/>
  <c r="I30" i="4"/>
  <c r="T126" i="1"/>
  <c r="G112" i="1"/>
  <c r="AH116" i="1"/>
  <c r="Q31" i="4"/>
  <c r="C3" i="4" l="1"/>
  <c r="C4" i="4" s="1"/>
  <c r="Q32" i="4"/>
  <c r="B114" i="3"/>
  <c r="S32" i="4" s="1"/>
  <c r="R32" i="4"/>
  <c r="T32" i="4" s="1"/>
  <c r="Q73" i="6"/>
  <c r="B50" i="4" s="1"/>
  <c r="C50" i="4" s="1"/>
  <c r="Q70" i="6"/>
  <c r="B47" i="4" s="1"/>
  <c r="C47" i="4" s="1"/>
  <c r="Q64" i="6"/>
  <c r="B41" i="4" s="1"/>
  <c r="C41" i="4" s="1"/>
  <c r="Q69" i="6"/>
  <c r="B46" i="4" s="1"/>
  <c r="C46" i="4" s="1"/>
  <c r="Q74" i="6"/>
  <c r="B51" i="4" s="1"/>
  <c r="C51" i="4" s="1"/>
  <c r="Q65" i="6"/>
  <c r="B42" i="4" s="1"/>
  <c r="C42" i="4" s="1"/>
  <c r="Q75" i="6"/>
  <c r="B52" i="4" s="1"/>
  <c r="C52" i="4" s="1"/>
  <c r="Q72" i="6"/>
  <c r="B49" i="4" s="1"/>
  <c r="C49" i="4" s="1"/>
  <c r="Q68" i="6"/>
  <c r="B45" i="4" s="1"/>
  <c r="C45" i="4" s="1"/>
  <c r="Q76" i="6"/>
  <c r="B53" i="4" s="1"/>
  <c r="C53" i="4" s="1"/>
  <c r="L70" i="6"/>
  <c r="B37" i="4" s="1"/>
  <c r="C37" i="4" s="1"/>
  <c r="L65" i="6"/>
  <c r="B32" i="4" s="1"/>
  <c r="C32" i="4" s="1"/>
  <c r="L73" i="6"/>
  <c r="B40" i="4" s="1"/>
  <c r="C40" i="4" s="1"/>
  <c r="L64" i="6"/>
  <c r="B31" i="4" s="1"/>
  <c r="C31" i="4" s="1"/>
  <c r="L71" i="6"/>
  <c r="B38" i="4" s="1"/>
  <c r="C38" i="4" s="1"/>
  <c r="L72" i="6"/>
  <c r="B39" i="4" s="1"/>
  <c r="C39" i="4" s="1"/>
  <c r="L66" i="6"/>
  <c r="B33" i="4" s="1"/>
  <c r="C33" i="4" s="1"/>
  <c r="L74" i="6"/>
  <c r="L75" i="6"/>
  <c r="L76" i="6"/>
  <c r="G4" i="4"/>
  <c r="G5" i="4" s="1"/>
  <c r="B118" i="3"/>
  <c r="S34" i="4" s="1"/>
  <c r="R34" i="4"/>
  <c r="T34" i="4" s="1"/>
  <c r="F4" i="4"/>
  <c r="F5" i="4" s="1"/>
  <c r="B124" i="3"/>
  <c r="R124" i="3"/>
  <c r="B125" i="3"/>
  <c r="D123" i="3"/>
  <c r="E123" i="3"/>
  <c r="Q133" i="3" s="1"/>
  <c r="R123" i="3"/>
  <c r="S124" i="3"/>
  <c r="S123" i="3"/>
  <c r="D126" i="3"/>
  <c r="AH117" i="1" s="1"/>
  <c r="D152" i="3"/>
  <c r="AH132" i="1" s="1"/>
  <c r="B152" i="3"/>
  <c r="S35" i="4"/>
  <c r="B126" i="3"/>
  <c r="J40" i="4"/>
  <c r="K40" i="4" s="1"/>
  <c r="J39" i="4"/>
  <c r="K39" i="4" s="1"/>
  <c r="J38" i="4"/>
  <c r="K38" i="4" s="1"/>
  <c r="J48" i="4"/>
  <c r="K48" i="4" s="1"/>
  <c r="J43" i="4"/>
  <c r="K43" i="4" s="1"/>
  <c r="J41" i="4"/>
  <c r="K41" i="4" s="1"/>
  <c r="J45" i="4"/>
  <c r="K45" i="4" s="1"/>
  <c r="J42" i="4"/>
  <c r="K42" i="4" s="1"/>
  <c r="J47" i="4"/>
  <c r="K47" i="4" s="1"/>
  <c r="J44" i="4"/>
  <c r="K44" i="4" s="1"/>
  <c r="J49" i="4"/>
  <c r="K49" i="4" s="1"/>
  <c r="J46" i="4"/>
  <c r="K46" i="4" s="1"/>
  <c r="J50" i="4"/>
  <c r="K50" i="4" s="1"/>
  <c r="J51" i="4"/>
  <c r="K51" i="4" s="1"/>
  <c r="E5" i="4"/>
  <c r="E6" i="4" s="1"/>
  <c r="D4" i="4"/>
  <c r="D5" i="4" s="1"/>
  <c r="J36" i="4"/>
  <c r="K36" i="4" s="1"/>
  <c r="R41" i="4" s="1"/>
  <c r="T41" i="4" s="1"/>
  <c r="J34" i="4"/>
  <c r="K34" i="4" s="1"/>
  <c r="R39" i="4" s="1"/>
  <c r="T39" i="4" s="1"/>
  <c r="J37" i="4"/>
  <c r="K37" i="4" s="1"/>
  <c r="R42" i="4" s="1"/>
  <c r="T42" i="4" s="1"/>
  <c r="J32" i="4"/>
  <c r="K32" i="4" s="1"/>
  <c r="R37" i="4" s="1"/>
  <c r="T37" i="4" s="1"/>
  <c r="J31" i="4"/>
  <c r="K31" i="4" s="1"/>
  <c r="R36" i="4" s="1"/>
  <c r="T36" i="4" s="1"/>
  <c r="J33" i="4"/>
  <c r="K33" i="4" s="1"/>
  <c r="R38" i="4" s="1"/>
  <c r="T38" i="4" s="1"/>
  <c r="J35" i="4"/>
  <c r="K35" i="4" s="1"/>
  <c r="R40" i="4" s="1"/>
  <c r="T40" i="4" s="1"/>
  <c r="B116" i="3"/>
  <c r="S33" i="4" s="1"/>
  <c r="R33" i="4"/>
  <c r="T33" i="4" s="1"/>
  <c r="H3" i="4" l="1"/>
  <c r="C5" i="4"/>
  <c r="C6" i="4" s="1"/>
  <c r="C7" i="4" s="1"/>
  <c r="B161" i="3"/>
  <c r="B135" i="3" s="1"/>
  <c r="B136" i="3" s="1"/>
  <c r="R47" i="4"/>
  <c r="T47" i="4" s="1"/>
  <c r="B167" i="3"/>
  <c r="B141" i="3" s="1"/>
  <c r="B142" i="3" s="1"/>
  <c r="R50" i="4"/>
  <c r="T50" i="4" s="1"/>
  <c r="B159" i="3"/>
  <c r="B133" i="3" s="1"/>
  <c r="R46" i="4"/>
  <c r="T46" i="4" s="1"/>
  <c r="D50" i="4"/>
  <c r="E50" i="4" s="1"/>
  <c r="T121" i="1" s="1"/>
  <c r="D42" i="4"/>
  <c r="E42" i="4" s="1"/>
  <c r="T113" i="1" s="1"/>
  <c r="D44" i="4"/>
  <c r="E44" i="4" s="1"/>
  <c r="T115" i="1" s="1"/>
  <c r="D47" i="4"/>
  <c r="E47" i="4" s="1"/>
  <c r="T118" i="1" s="1"/>
  <c r="D43" i="4"/>
  <c r="E43" i="4" s="1"/>
  <c r="T114" i="1" s="1"/>
  <c r="D46" i="4"/>
  <c r="E46" i="4" s="1"/>
  <c r="T117" i="1" s="1"/>
  <c r="D49" i="4"/>
  <c r="E49" i="4" s="1"/>
  <c r="T120" i="1" s="1"/>
  <c r="D45" i="4"/>
  <c r="E45" i="4" s="1"/>
  <c r="T116" i="1" s="1"/>
  <c r="D41" i="4"/>
  <c r="E41" i="4" s="1"/>
  <c r="T112" i="1" s="1"/>
  <c r="D48" i="4"/>
  <c r="E48" i="4" s="1"/>
  <c r="T119" i="1" s="1"/>
  <c r="D52" i="4"/>
  <c r="E52" i="4" s="1"/>
  <c r="D51" i="4"/>
  <c r="E51" i="4" s="1"/>
  <c r="D53" i="4"/>
  <c r="E53" i="4" s="1"/>
  <c r="B169" i="3"/>
  <c r="B143" i="3" s="1"/>
  <c r="B144" i="3" s="1"/>
  <c r="R51" i="4"/>
  <c r="T51" i="4" s="1"/>
  <c r="B173" i="3"/>
  <c r="B147" i="3" s="1"/>
  <c r="B148" i="3" s="1"/>
  <c r="R53" i="4"/>
  <c r="T53" i="4" s="1"/>
  <c r="F6" i="4"/>
  <c r="R56" i="4"/>
  <c r="T56" i="4" s="1"/>
  <c r="B179" i="3"/>
  <c r="D6" i="4"/>
  <c r="B177" i="3"/>
  <c r="R55" i="4"/>
  <c r="T55" i="4" s="1"/>
  <c r="B163" i="3"/>
  <c r="B137" i="3" s="1"/>
  <c r="B138" i="3" s="1"/>
  <c r="R48" i="4"/>
  <c r="T48" i="4" s="1"/>
  <c r="B175" i="3"/>
  <c r="B149" i="3" s="1"/>
  <c r="B150" i="3" s="1"/>
  <c r="R54" i="4"/>
  <c r="T54" i="4" s="1"/>
  <c r="B153" i="3"/>
  <c r="B127" i="3" s="1"/>
  <c r="R43" i="4"/>
  <c r="T43" i="4" s="1"/>
  <c r="E7" i="4"/>
  <c r="E8" i="4" s="1"/>
  <c r="B155" i="3"/>
  <c r="B129" i="3" s="1"/>
  <c r="B130" i="3" s="1"/>
  <c r="R44" i="4"/>
  <c r="T44" i="4" s="1"/>
  <c r="G6" i="4"/>
  <c r="B165" i="3"/>
  <c r="R49" i="4"/>
  <c r="T49" i="4" s="1"/>
  <c r="B139" i="3"/>
  <c r="B171" i="3"/>
  <c r="B145" i="3" s="1"/>
  <c r="B146" i="3" s="1"/>
  <c r="R52" i="4"/>
  <c r="T52" i="4" s="1"/>
  <c r="B157" i="3"/>
  <c r="B131" i="3" s="1"/>
  <c r="R45" i="4"/>
  <c r="T45" i="4" s="1"/>
  <c r="D32" i="4"/>
  <c r="E32" i="4" s="1"/>
  <c r="D34" i="4"/>
  <c r="E34" i="4" s="1"/>
  <c r="D35" i="4"/>
  <c r="E35" i="4" s="1"/>
  <c r="D37" i="4"/>
  <c r="E37" i="4" s="1"/>
  <c r="S118" i="1" s="1"/>
  <c r="D36" i="4"/>
  <c r="E36" i="4" s="1"/>
  <c r="D31" i="4"/>
  <c r="E31" i="4" s="1"/>
  <c r="D33" i="4"/>
  <c r="E33" i="4" s="1"/>
  <c r="D38" i="4"/>
  <c r="E38" i="4" s="1"/>
  <c r="D39" i="4"/>
  <c r="E39" i="4" s="1"/>
  <c r="D40" i="4"/>
  <c r="E40" i="4" s="1"/>
  <c r="Q33" i="4"/>
  <c r="H4" i="4"/>
  <c r="H5" i="4" l="1"/>
  <c r="AH120" i="1"/>
  <c r="S114" i="1"/>
  <c r="S116" i="1"/>
  <c r="S115" i="1"/>
  <c r="C8" i="4"/>
  <c r="C9" i="4" s="1"/>
  <c r="S112" i="1"/>
  <c r="AH126" i="1"/>
  <c r="S113" i="1"/>
  <c r="AH128" i="1"/>
  <c r="S117" i="1"/>
  <c r="B156" i="3"/>
  <c r="AH135" i="1"/>
  <c r="B174" i="3"/>
  <c r="AH153" i="1"/>
  <c r="B176" i="3"/>
  <c r="AH155" i="1"/>
  <c r="AH121" i="1"/>
  <c r="S37" i="4"/>
  <c r="B168" i="3"/>
  <c r="AH147" i="1"/>
  <c r="Q34" i="4"/>
  <c r="B164" i="3"/>
  <c r="AH143" i="1"/>
  <c r="B160" i="3"/>
  <c r="AH139" i="1"/>
  <c r="H6" i="4"/>
  <c r="B166" i="3"/>
  <c r="AH145" i="1"/>
  <c r="B132" i="3"/>
  <c r="AH122" i="1"/>
  <c r="E9" i="4"/>
  <c r="E10" i="4" s="1"/>
  <c r="B140" i="3"/>
  <c r="AH130" i="1"/>
  <c r="G7" i="4"/>
  <c r="S41" i="4"/>
  <c r="AH129" i="1"/>
  <c r="S40" i="4"/>
  <c r="AH127" i="1"/>
  <c r="B162" i="3"/>
  <c r="AH141" i="1"/>
  <c r="B134" i="3"/>
  <c r="AH124" i="1"/>
  <c r="D7" i="4"/>
  <c r="B158" i="3"/>
  <c r="AH137" i="1"/>
  <c r="B172" i="3"/>
  <c r="AH151" i="1"/>
  <c r="B178" i="3"/>
  <c r="AH157" i="1"/>
  <c r="AH159" i="1"/>
  <c r="B180" i="3"/>
  <c r="B154" i="3"/>
  <c r="AH133" i="1"/>
  <c r="F7" i="4"/>
  <c r="B128" i="3"/>
  <c r="AH118" i="1"/>
  <c r="B170" i="3"/>
  <c r="AH149" i="1"/>
  <c r="C10" i="4" l="1"/>
  <c r="C11" i="4" s="1"/>
  <c r="C12" i="4" s="1"/>
  <c r="E11" i="4"/>
  <c r="E12" i="4" s="1"/>
  <c r="E13" i="4" s="1"/>
  <c r="E14" i="4" s="1"/>
  <c r="E15" i="4" s="1"/>
  <c r="E16" i="4" s="1"/>
  <c r="E17" i="4" s="1"/>
  <c r="E18" i="4" s="1"/>
  <c r="E19" i="4" s="1"/>
  <c r="E20" i="4" s="1"/>
  <c r="E21" i="4" s="1"/>
  <c r="Q35" i="4"/>
  <c r="H7" i="4"/>
  <c r="AH123" i="1"/>
  <c r="S38" i="4"/>
  <c r="AH119" i="1"/>
  <c r="S36" i="4"/>
  <c r="AH140" i="1"/>
  <c r="S46" i="4"/>
  <c r="AH148" i="1"/>
  <c r="S50" i="4"/>
  <c r="AH156" i="1"/>
  <c r="S54" i="4"/>
  <c r="S43" i="4"/>
  <c r="AH134" i="1"/>
  <c r="AH152" i="1"/>
  <c r="S52" i="4"/>
  <c r="S42" i="4"/>
  <c r="AH131" i="1"/>
  <c r="AH150" i="1"/>
  <c r="S51" i="4"/>
  <c r="S39" i="4"/>
  <c r="AH125" i="1"/>
  <c r="AH154" i="1"/>
  <c r="S53" i="4"/>
  <c r="S56" i="4"/>
  <c r="AH160" i="1"/>
  <c r="AH142" i="1"/>
  <c r="S47" i="4"/>
  <c r="S48" i="4"/>
  <c r="AH144" i="1"/>
  <c r="AH158" i="1"/>
  <c r="S55" i="4"/>
  <c r="D8" i="4"/>
  <c r="D9" i="4" s="1"/>
  <c r="AH136" i="1"/>
  <c r="S44" i="4"/>
  <c r="AH146" i="1"/>
  <c r="S49" i="4"/>
  <c r="F8" i="4"/>
  <c r="S45" i="4"/>
  <c r="AH138" i="1"/>
  <c r="G8" i="4"/>
  <c r="C13" i="4" l="1"/>
  <c r="E22" i="4"/>
  <c r="G9" i="4"/>
  <c r="G10" i="4" s="1"/>
  <c r="G11" i="4" s="1"/>
  <c r="F9" i="4"/>
  <c r="H9" i="4" s="1"/>
  <c r="D10" i="4"/>
  <c r="T35" i="4"/>
  <c r="Q36" i="4"/>
  <c r="H8" i="4"/>
  <c r="C14" i="4" l="1"/>
  <c r="C15" i="4" s="1"/>
  <c r="C16" i="4" s="1"/>
  <c r="E23" i="4"/>
  <c r="E24" i="4" s="1"/>
  <c r="B24" i="4" s="1"/>
  <c r="L24" i="4" s="1"/>
  <c r="D11" i="4"/>
  <c r="F10" i="4"/>
  <c r="Q37" i="4"/>
  <c r="G12" i="4"/>
  <c r="G13" i="4" s="1"/>
  <c r="C17" i="4" l="1"/>
  <c r="G14" i="4"/>
  <c r="G15" i="4" s="1"/>
  <c r="G16" i="4" s="1"/>
  <c r="G17" i="4" s="1"/>
  <c r="G18" i="4" s="1"/>
  <c r="G19" i="4" s="1"/>
  <c r="G20" i="4" s="1"/>
  <c r="G21" i="4" s="1"/>
  <c r="G22" i="4" s="1"/>
  <c r="G23" i="4" s="1"/>
  <c r="G24" i="4" s="1"/>
  <c r="B25" i="4" s="1"/>
  <c r="L25" i="4" s="1"/>
  <c r="F11" i="4"/>
  <c r="H11" i="4" s="1"/>
  <c r="D12" i="4"/>
  <c r="H10" i="4"/>
  <c r="Q38" i="4"/>
  <c r="C18" i="4" l="1"/>
  <c r="C19" i="4" s="1"/>
  <c r="C20" i="4" s="1"/>
  <c r="Q39" i="4"/>
  <c r="D13" i="4"/>
  <c r="F12" i="4"/>
  <c r="F13" i="4" s="1"/>
  <c r="F14" i="4" s="1"/>
  <c r="F15" i="4" s="1"/>
  <c r="F16" i="4" s="1"/>
  <c r="F17" i="4" s="1"/>
  <c r="F18" i="4" s="1"/>
  <c r="F19" i="4" s="1"/>
  <c r="F20" i="4" s="1"/>
  <c r="F21" i="4" s="1"/>
  <c r="F22" i="4" s="1"/>
  <c r="F23" i="4" s="1"/>
  <c r="F24" i="4" s="1"/>
  <c r="B28" i="4" s="1"/>
  <c r="L28" i="4" s="1"/>
  <c r="H12" i="4" l="1"/>
  <c r="Q40" i="4"/>
  <c r="D14" i="4"/>
  <c r="H13" i="4"/>
  <c r="C21" i="4"/>
  <c r="C22" i="4" l="1"/>
  <c r="D15" i="4"/>
  <c r="H14" i="4"/>
  <c r="Q41" i="4"/>
  <c r="Q42" i="4" l="1"/>
  <c r="C23" i="4"/>
  <c r="D16" i="4"/>
  <c r="H15" i="4"/>
  <c r="D17" i="4" l="1"/>
  <c r="H16" i="4"/>
  <c r="C24" i="4"/>
  <c r="Q43" i="4"/>
  <c r="Q44" i="4" l="1"/>
  <c r="B27" i="4"/>
  <c r="L27" i="4" s="1"/>
  <c r="D18" i="4"/>
  <c r="H17" i="4"/>
  <c r="D19" i="4" l="1"/>
  <c r="H18" i="4"/>
  <c r="Q45" i="4"/>
  <c r="Q46" i="4" l="1"/>
  <c r="D20" i="4"/>
  <c r="H19" i="4"/>
  <c r="D21" i="4" l="1"/>
  <c r="H20" i="4"/>
  <c r="Q47" i="4"/>
  <c r="Q48" i="4" l="1"/>
  <c r="D22" i="4"/>
  <c r="H21" i="4"/>
  <c r="D23" i="4" l="1"/>
  <c r="H22" i="4"/>
  <c r="Q49" i="4"/>
  <c r="Q50" i="4" l="1"/>
  <c r="D24" i="4"/>
  <c r="H23" i="4"/>
  <c r="B26" i="4" l="1"/>
  <c r="L26" i="4" s="1"/>
  <c r="H24" i="4"/>
  <c r="Q51" i="4"/>
  <c r="Q52" i="4" l="1"/>
  <c r="M28" i="4"/>
  <c r="N28" i="4" s="1"/>
  <c r="M18" i="4"/>
  <c r="N18" i="4" s="1"/>
  <c r="R18" i="4" s="1"/>
  <c r="T18" i="4" s="1"/>
  <c r="M4" i="4"/>
  <c r="N4" i="4" s="1"/>
  <c r="M20" i="4"/>
  <c r="N20" i="4" s="1"/>
  <c r="R20" i="4" s="1"/>
  <c r="T20" i="4" s="1"/>
  <c r="M5" i="4"/>
  <c r="N5" i="4" s="1"/>
  <c r="M14" i="4"/>
  <c r="N14" i="4" s="1"/>
  <c r="M12" i="4"/>
  <c r="N12" i="4" s="1"/>
  <c r="M25" i="4"/>
  <c r="N25" i="4" s="1"/>
  <c r="R25" i="4" s="1"/>
  <c r="T25" i="4" s="1"/>
  <c r="M19" i="4"/>
  <c r="N19" i="4" s="1"/>
  <c r="R19" i="4" s="1"/>
  <c r="T19" i="4" s="1"/>
  <c r="M7" i="4"/>
  <c r="N7" i="4" s="1"/>
  <c r="M8" i="4"/>
  <c r="N8" i="4" s="1"/>
  <c r="M21" i="4"/>
  <c r="N21" i="4" s="1"/>
  <c r="R21" i="4" s="1"/>
  <c r="T21" i="4" s="1"/>
  <c r="M9" i="4"/>
  <c r="N9" i="4" s="1"/>
  <c r="M16" i="4"/>
  <c r="N16" i="4" s="1"/>
  <c r="R16" i="4" s="1"/>
  <c r="T16" i="4" s="1"/>
  <c r="M24" i="4"/>
  <c r="N24" i="4" s="1"/>
  <c r="R24" i="4" s="1"/>
  <c r="T24" i="4" s="1"/>
  <c r="M22" i="4"/>
  <c r="N22" i="4" s="1"/>
  <c r="R22" i="4" s="1"/>
  <c r="T22" i="4" s="1"/>
  <c r="M3" i="4"/>
  <c r="N3" i="4" s="1"/>
  <c r="M17" i="4"/>
  <c r="N17" i="4" s="1"/>
  <c r="R17" i="4" s="1"/>
  <c r="T17" i="4" s="1"/>
  <c r="M15" i="4"/>
  <c r="N15" i="4" s="1"/>
  <c r="M23" i="4"/>
  <c r="N23" i="4" s="1"/>
  <c r="R23" i="4" s="1"/>
  <c r="T23" i="4" s="1"/>
  <c r="M11" i="4"/>
  <c r="N11" i="4" s="1"/>
  <c r="M26" i="4"/>
  <c r="N26" i="4" s="1"/>
  <c r="R26" i="4" s="1"/>
  <c r="T26" i="4" s="1"/>
  <c r="M13" i="4"/>
  <c r="N13" i="4" s="1"/>
  <c r="M10" i="4"/>
  <c r="N10" i="4" s="1"/>
  <c r="M27" i="4"/>
  <c r="N27" i="4" s="1"/>
  <c r="R27" i="4" s="1"/>
  <c r="T27" i="4" s="1"/>
  <c r="M2" i="4"/>
  <c r="N2" i="4" s="1"/>
  <c r="M6" i="4"/>
  <c r="N6" i="4" s="1"/>
  <c r="B91" i="3" l="1"/>
  <c r="X47" i="2"/>
  <c r="R14" i="4"/>
  <c r="T14" i="4" s="1"/>
  <c r="B82" i="3"/>
  <c r="X44" i="2"/>
  <c r="R11" i="4"/>
  <c r="T11" i="4" s="1"/>
  <c r="B76" i="3"/>
  <c r="R9" i="4"/>
  <c r="T9" i="4" s="1"/>
  <c r="X41" i="2"/>
  <c r="B62" i="3"/>
  <c r="X30" i="2"/>
  <c r="R5" i="4"/>
  <c r="T5" i="4" s="1"/>
  <c r="B65" i="3"/>
  <c r="X33" i="2"/>
  <c r="R6" i="4"/>
  <c r="T6" i="4" s="1"/>
  <c r="B94" i="3"/>
  <c r="X49" i="2"/>
  <c r="R15" i="4"/>
  <c r="T15" i="4" s="1"/>
  <c r="B71" i="3"/>
  <c r="R8" i="4"/>
  <c r="T8" i="4" s="1"/>
  <c r="X39" i="2"/>
  <c r="B59" i="3"/>
  <c r="X27" i="2"/>
  <c r="R4" i="4"/>
  <c r="T4" i="4" s="1"/>
  <c r="B53" i="3"/>
  <c r="R2" i="4"/>
  <c r="T2" i="4" s="1"/>
  <c r="X21" i="2"/>
  <c r="B68" i="3"/>
  <c r="X36" i="2"/>
  <c r="R7" i="4"/>
  <c r="T7" i="4" s="1"/>
  <c r="B56" i="3"/>
  <c r="R3" i="4"/>
  <c r="T3" i="4" s="1"/>
  <c r="X24" i="2"/>
  <c r="B79" i="3"/>
  <c r="R10" i="4"/>
  <c r="T10" i="4" s="1"/>
  <c r="X43" i="2"/>
  <c r="B88" i="3"/>
  <c r="R13" i="4"/>
  <c r="T13" i="4" s="1"/>
  <c r="X46" i="2"/>
  <c r="B85" i="3"/>
  <c r="X45" i="2"/>
  <c r="R12" i="4"/>
  <c r="T12" i="4" s="1"/>
  <c r="Q53" i="4"/>
  <c r="U52" i="4" l="1"/>
  <c r="W52" i="4" s="1"/>
  <c r="B86" i="3"/>
  <c r="AJ87" i="1"/>
  <c r="B60" i="3"/>
  <c r="AH80" i="1"/>
  <c r="B95" i="3"/>
  <c r="AJ108" i="1"/>
  <c r="B66" i="3"/>
  <c r="AH94" i="1"/>
  <c r="B69" i="3"/>
  <c r="AH101" i="1"/>
  <c r="B83" i="3"/>
  <c r="AJ80" i="1"/>
  <c r="B72" i="3"/>
  <c r="AH108" i="1"/>
  <c r="B57" i="3"/>
  <c r="AH73" i="1"/>
  <c r="B89" i="3"/>
  <c r="AJ94" i="1"/>
  <c r="Q54" i="4"/>
  <c r="U53" i="4"/>
  <c r="B80" i="3"/>
  <c r="AJ73" i="1"/>
  <c r="B63" i="3"/>
  <c r="AH87" i="1"/>
  <c r="B77" i="3"/>
  <c r="AJ66" i="1"/>
  <c r="U24" i="4"/>
  <c r="U21" i="4"/>
  <c r="U9" i="4"/>
  <c r="U14" i="4"/>
  <c r="U2" i="4"/>
  <c r="U13" i="4"/>
  <c r="U16" i="4"/>
  <c r="U3" i="4"/>
  <c r="U4" i="4"/>
  <c r="U6" i="4"/>
  <c r="U28" i="4"/>
  <c r="U8" i="4"/>
  <c r="U20" i="4"/>
  <c r="U15" i="4"/>
  <c r="U22" i="4"/>
  <c r="U26" i="4"/>
  <c r="U19" i="4"/>
  <c r="U25" i="4"/>
  <c r="U12" i="4"/>
  <c r="U10" i="4"/>
  <c r="U27" i="4"/>
  <c r="U17" i="4"/>
  <c r="U7" i="4"/>
  <c r="U23" i="4"/>
  <c r="U11" i="4"/>
  <c r="U5" i="4"/>
  <c r="U18" i="4"/>
  <c r="U29" i="4"/>
  <c r="U30" i="4"/>
  <c r="U31" i="4"/>
  <c r="U32" i="4"/>
  <c r="U33" i="4"/>
  <c r="U34" i="4"/>
  <c r="U35" i="4"/>
  <c r="U36" i="4"/>
  <c r="U37" i="4"/>
  <c r="U38" i="4"/>
  <c r="U39" i="4"/>
  <c r="U40" i="4"/>
  <c r="U41" i="4"/>
  <c r="U42" i="4"/>
  <c r="U43" i="4"/>
  <c r="U44" i="4"/>
  <c r="U45" i="4"/>
  <c r="U46" i="4"/>
  <c r="U47" i="4"/>
  <c r="U48" i="4"/>
  <c r="U49" i="4"/>
  <c r="U50" i="4"/>
  <c r="U51" i="4"/>
  <c r="B54" i="3"/>
  <c r="AH66" i="1"/>
  <c r="B92" i="3"/>
  <c r="AJ101" i="1"/>
  <c r="V52" i="4" l="1"/>
  <c r="V8" i="4"/>
  <c r="B68" i="2" s="1"/>
  <c r="W44" i="4"/>
  <c r="V44" i="4"/>
  <c r="V12" i="4"/>
  <c r="B72" i="2" s="1"/>
  <c r="W12" i="4"/>
  <c r="C72" i="2" s="1"/>
  <c r="AJ74" i="1"/>
  <c r="S10" i="4"/>
  <c r="W51" i="4"/>
  <c r="V51" i="4"/>
  <c r="V43" i="4"/>
  <c r="W43" i="4"/>
  <c r="W35" i="4"/>
  <c r="C95" i="2" s="1"/>
  <c r="V35" i="4"/>
  <c r="B95" i="2" s="1"/>
  <c r="V5" i="4"/>
  <c r="B65" i="2" s="1"/>
  <c r="W25" i="4"/>
  <c r="C85" i="2" s="1"/>
  <c r="V25" i="4"/>
  <c r="B85" i="2" s="1"/>
  <c r="V6" i="4"/>
  <c r="B66" i="2" s="1"/>
  <c r="W21" i="4"/>
  <c r="C81" i="2" s="1"/>
  <c r="V21" i="4"/>
  <c r="B81" i="2" s="1"/>
  <c r="V53" i="4"/>
  <c r="W53" i="4"/>
  <c r="W10" i="4"/>
  <c r="C70" i="2" s="1"/>
  <c r="V10" i="4"/>
  <c r="B70" i="2" s="1"/>
  <c r="AH109" i="1"/>
  <c r="S8" i="4"/>
  <c r="W8" i="4" s="1"/>
  <c r="C68" i="2" s="1"/>
  <c r="W42" i="4"/>
  <c r="V42" i="4"/>
  <c r="V11" i="4"/>
  <c r="B71" i="2" s="1"/>
  <c r="W11" i="4"/>
  <c r="C71" i="2" s="1"/>
  <c r="V4" i="4"/>
  <c r="B64" i="2" s="1"/>
  <c r="V24" i="4"/>
  <c r="B84" i="2" s="1"/>
  <c r="W24" i="4"/>
  <c r="C84" i="2" s="1"/>
  <c r="Q55" i="4"/>
  <c r="U54" i="4"/>
  <c r="AJ81" i="1"/>
  <c r="S11" i="4"/>
  <c r="AH81" i="1"/>
  <c r="S4" i="4"/>
  <c r="W4" i="4" s="1"/>
  <c r="C64" i="2" s="1"/>
  <c r="W37" i="4"/>
  <c r="C97" i="2" s="1"/>
  <c r="V37" i="4"/>
  <c r="B97" i="2" s="1"/>
  <c r="W18" i="4"/>
  <c r="C78" i="2" s="1"/>
  <c r="V18" i="4"/>
  <c r="B78" i="2" s="1"/>
  <c r="V9" i="4"/>
  <c r="B69" i="2" s="1"/>
  <c r="W9" i="4"/>
  <c r="C69" i="2" s="1"/>
  <c r="V50" i="4"/>
  <c r="W50" i="4"/>
  <c r="W34" i="4"/>
  <c r="C94" i="2" s="1"/>
  <c r="V34" i="4"/>
  <c r="B94" i="2" s="1"/>
  <c r="W19" i="4"/>
  <c r="C79" i="2" s="1"/>
  <c r="V19" i="4"/>
  <c r="B79" i="2" s="1"/>
  <c r="V49" i="4"/>
  <c r="W49" i="4"/>
  <c r="V41" i="4"/>
  <c r="W41" i="4"/>
  <c r="W33" i="4"/>
  <c r="C93" i="2" s="1"/>
  <c r="V33" i="4"/>
  <c r="B93" i="2" s="1"/>
  <c r="W23" i="4"/>
  <c r="C83" i="2" s="1"/>
  <c r="V23" i="4"/>
  <c r="B83" i="2" s="1"/>
  <c r="V26" i="4"/>
  <c r="B86" i="2" s="1"/>
  <c r="W26" i="4"/>
  <c r="C86" i="2" s="1"/>
  <c r="V3" i="4"/>
  <c r="B63" i="2" s="1"/>
  <c r="S2" i="4"/>
  <c r="W2" i="4" s="1"/>
  <c r="C62" i="2" s="1"/>
  <c r="AH67" i="1"/>
  <c r="W32" i="4"/>
  <c r="C92" i="2" s="1"/>
  <c r="V32" i="4"/>
  <c r="B92" i="2" s="1"/>
  <c r="V7" i="4"/>
  <c r="B67" i="2" s="1"/>
  <c r="W22" i="4"/>
  <c r="C82" i="2" s="1"/>
  <c r="V22" i="4"/>
  <c r="B82" i="2" s="1"/>
  <c r="W16" i="4"/>
  <c r="C76" i="2" s="1"/>
  <c r="V16" i="4"/>
  <c r="B76" i="2" s="1"/>
  <c r="AJ67" i="1"/>
  <c r="S9" i="4"/>
  <c r="AJ95" i="1"/>
  <c r="S13" i="4"/>
  <c r="AH102" i="1"/>
  <c r="S7" i="4"/>
  <c r="W7" i="4" s="1"/>
  <c r="C67" i="2" s="1"/>
  <c r="S12" i="4"/>
  <c r="AJ88" i="1"/>
  <c r="W45" i="4"/>
  <c r="V45" i="4"/>
  <c r="V14" i="4"/>
  <c r="B74" i="2" s="1"/>
  <c r="W14" i="4"/>
  <c r="C74" i="2" s="1"/>
  <c r="W36" i="4"/>
  <c r="C96" i="2" s="1"/>
  <c r="V36" i="4"/>
  <c r="B96" i="2" s="1"/>
  <c r="V28" i="4"/>
  <c r="B88" i="2" s="1"/>
  <c r="W28" i="4"/>
  <c r="C88" i="2" s="1"/>
  <c r="AJ109" i="1"/>
  <c r="S15" i="4"/>
  <c r="V48" i="4"/>
  <c r="W48" i="4"/>
  <c r="W40" i="4"/>
  <c r="V40" i="4"/>
  <c r="W47" i="4"/>
  <c r="V47" i="4"/>
  <c r="W39" i="4"/>
  <c r="V39" i="4"/>
  <c r="V31" i="4"/>
  <c r="B91" i="2" s="1"/>
  <c r="W31" i="4"/>
  <c r="C91" i="2" s="1"/>
  <c r="W17" i="4"/>
  <c r="C77" i="2" s="1"/>
  <c r="V17" i="4"/>
  <c r="B77" i="2" s="1"/>
  <c r="V15" i="4"/>
  <c r="B75" i="2" s="1"/>
  <c r="W15" i="4"/>
  <c r="C75" i="2" s="1"/>
  <c r="W13" i="4"/>
  <c r="C73" i="2" s="1"/>
  <c r="V13" i="4"/>
  <c r="B73" i="2" s="1"/>
  <c r="V29" i="4"/>
  <c r="B89" i="2" s="1"/>
  <c r="W29" i="4"/>
  <c r="C89" i="2" s="1"/>
  <c r="AJ102" i="1"/>
  <c r="S14" i="4"/>
  <c r="W46" i="4"/>
  <c r="V46" i="4"/>
  <c r="V38" i="4"/>
  <c r="B98" i="2" s="1"/>
  <c r="W38" i="4"/>
  <c r="C98" i="2" s="1"/>
  <c r="W30" i="4"/>
  <c r="C90" i="2" s="1"/>
  <c r="V30" i="4"/>
  <c r="B90" i="2" s="1"/>
  <c r="V27" i="4"/>
  <c r="B87" i="2" s="1"/>
  <c r="W27" i="4"/>
  <c r="C87" i="2" s="1"/>
  <c r="V20" i="4"/>
  <c r="B80" i="2" s="1"/>
  <c r="W20" i="4"/>
  <c r="C80" i="2" s="1"/>
  <c r="V2" i="4"/>
  <c r="B62" i="2" s="1"/>
  <c r="AH88" i="1"/>
  <c r="S5" i="4"/>
  <c r="W5" i="4" s="1"/>
  <c r="C65" i="2" s="1"/>
  <c r="AH74" i="1"/>
  <c r="S3" i="4"/>
  <c r="W3" i="4" s="1"/>
  <c r="C63" i="2" s="1"/>
  <c r="AH95" i="1"/>
  <c r="S6" i="4"/>
  <c r="W6" i="4" s="1"/>
  <c r="C66" i="2" s="1"/>
  <c r="V54" i="4" l="1"/>
  <c r="W54" i="4"/>
  <c r="Q56" i="4"/>
  <c r="U56" i="4" s="1"/>
  <c r="U55" i="4"/>
  <c r="V56" i="4" l="1"/>
  <c r="W56" i="4"/>
  <c r="V55" i="4"/>
  <c r="W55" i="4"/>
</calcChain>
</file>

<file path=xl/sharedStrings.xml><?xml version="1.0" encoding="utf-8"?>
<sst xmlns="http://schemas.openxmlformats.org/spreadsheetml/2006/main" count="4156" uniqueCount="1903">
  <si>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</si>
  <si>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</si>
  <si>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</si>
  <si>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</si>
  <si>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</si>
  <si>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</si>
  <si>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</si>
  <si>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</si>
  <si>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</si>
  <si>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</si>
  <si>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</si>
  <si>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</si>
  <si>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</si>
  <si>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</si>
  <si>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</si>
  <si>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</si>
  <si>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</si>
  <si>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</si>
  <si>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</si>
  <si>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</si>
  <si>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</si>
  <si>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</si>
  <si>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</si>
  <si>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</si>
  <si>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</si>
  <si>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</si>
  <si>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</si>
  <si>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</si>
  <si>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</si>
  <si>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</si>
  <si>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</si>
  <si>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</si>
  <si>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</si>
  <si>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</si>
  <si>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</si>
  <si>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</si>
  <si>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</si>
  <si>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</si>
  <si>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</si>
  <si>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</si>
  <si>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</si>
  <si>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</si>
  <si>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</si>
  <si>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</si>
  <si>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</si>
  <si>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</si>
  <si>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</si>
  <si>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</si>
  <si>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</si>
  <si>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</si>
  <si>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</si>
  <si>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</si>
  <si>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</si>
  <si>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</si>
  <si>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</si>
  <si>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</si>
  <si>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</si>
  <si>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</si>
  <si>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</si>
  <si>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</si>
  <si>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</si>
  <si>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</si>
  <si>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</si>
  <si>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</si>
  <si>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</si>
  <si>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</si>
  <si>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</si>
  <si>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</si>
  <si>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</si>
  <si>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</si>
  <si>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</si>
  <si>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</si>
  <si>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</si>
  <si>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</si>
  <si>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</si>
  <si>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</si>
  <si>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</si>
  <si>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</si>
  <si>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</si>
  <si>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</si>
  <si>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</si>
  <si>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</si>
  <si>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</si>
  <si>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</si>
  <si>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</si>
  <si>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</si>
  <si>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</si>
  <si>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</si>
  <si>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</si>
  <si>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</si>
  <si>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</si>
  <si>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</si>
  <si>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</si>
  <si>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</si>
  <si>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</si>
  <si>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</si>
  <si>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</si>
  <si>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</si>
  <si>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</si>
  <si>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</si>
  <si>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</si>
  <si>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</si>
  <si>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</si>
  <si>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</si>
  <si>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</si>
  <si>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</si>
  <si>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</si>
  <si>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</si>
  <si>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</si>
  <si>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</si>
  <si>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</si>
  <si>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</si>
  <si>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</si>
  <si>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</si>
  <si>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</si>
  <si>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</si>
  <si>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</si>
  <si>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</si>
  <si>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</si>
  <si>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</si>
  <si>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</si>
  <si>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</si>
  <si>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</si>
  <si>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</si>
  <si>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</si>
  <si>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</si>
  <si>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</si>
  <si>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</si>
  <si>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</si>
  <si>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</si>
  <si>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</si>
  <si>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</si>
  <si>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</si>
  <si>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</si>
  <si>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</si>
  <si>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</si>
  <si>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</si>
  <si>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</si>
  <si>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</si>
  <si>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</si>
  <si>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</si>
  <si>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</si>
  <si>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</si>
  <si>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</si>
  <si>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</si>
  <si>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</si>
  <si>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</si>
  <si>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</si>
  <si>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</si>
  <si>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</si>
  <si>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</si>
  <si>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</si>
  <si>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</si>
  <si>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</si>
  <si>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</si>
  <si>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</si>
  <si>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</si>
  <si>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</si>
  <si>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</si>
  <si>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</si>
  <si>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</si>
  <si>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</si>
  <si>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</si>
  <si>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</si>
  <si>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</si>
  <si>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</si>
  <si>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</si>
  <si>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</si>
  <si>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</si>
  <si>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</si>
  <si>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</si>
  <si>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</si>
  <si>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</si>
  <si>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</si>
  <si>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</si>
  <si>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</si>
  <si>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</si>
  <si>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</si>
  <si>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</si>
  <si>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</si>
  <si>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</si>
  <si>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</si>
  <si>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</si>
  <si>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</si>
  <si>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</si>
  <si>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</si>
  <si>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</si>
  <si>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</si>
  <si>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</si>
  <si>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</si>
  <si>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</si>
  <si>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</si>
  <si>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</si>
  <si>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</si>
  <si>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</si>
  <si>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</si>
  <si>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</si>
  <si>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</si>
  <si>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</si>
  <si>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</si>
  <si>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</si>
  <si>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</si>
  <si>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</si>
  <si>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</si>
  <si>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</si>
  <si>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</si>
  <si>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</si>
  <si>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</si>
  <si>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</si>
  <si>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</si>
  <si>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</si>
  <si>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</si>
  <si>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</si>
  <si>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</si>
  <si>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</si>
  <si>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</si>
  <si>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</si>
  <si>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</si>
  <si>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</si>
  <si>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</si>
  <si>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</si>
  <si>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</si>
  <si>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</si>
  <si>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</si>
  <si>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</si>
  <si>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</si>
  <si>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</si>
  <si>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</si>
  <si>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</si>
  <si>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</si>
  <si>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</si>
  <si>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</si>
  <si>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</si>
  <si>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</si>
  <si>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</si>
  <si>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</si>
  <si>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</si>
  <si>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</si>
  <si>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</si>
  <si>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</si>
  <si>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</si>
  <si>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</si>
  <si>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</si>
  <si>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</si>
  <si>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</si>
  <si>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</si>
  <si>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</si>
  <si>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</si>
  <si>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</si>
  <si>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</si>
  <si>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</si>
  <si>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</si>
  <si>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</si>
  <si>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</si>
  <si>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</si>
  <si>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</si>
  <si>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</si>
  <si>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</si>
  <si>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</si>
  <si>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</si>
  <si>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</si>
  <si>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</si>
  <si>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</si>
  <si>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</si>
  <si>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</si>
  <si>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</si>
  <si>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</si>
  <si>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</si>
  <si>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</si>
  <si>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</si>
  <si>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</si>
  <si>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</si>
  <si>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</si>
  <si>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</si>
  <si>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</si>
  <si>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</si>
  <si>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</si>
  <si>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</si>
  <si>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</si>
  <si>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</si>
  <si>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</si>
  <si>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</si>
  <si>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</si>
  <si>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</si>
  <si>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</si>
  <si>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</si>
  <si>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</si>
  <si>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</si>
  <si>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</si>
  <si>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</si>
  <si>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</si>
  <si>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</si>
  <si>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</si>
  <si>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</si>
  <si>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</si>
  <si>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</si>
  <si>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</si>
  <si>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</si>
  <si>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</si>
  <si>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</si>
  <si>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</si>
  <si>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</si>
  <si>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</si>
  <si>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</si>
  <si>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</si>
  <si>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</si>
  <si>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</si>
  <si>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</si>
  <si>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</si>
  <si>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</si>
  <si>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</si>
  <si>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</si>
  <si>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</si>
  <si>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</si>
  <si>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</si>
  <si>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</si>
  <si>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</si>
  <si>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</si>
  <si>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</si>
  <si>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</si>
  <si>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</si>
  <si>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</si>
  <si>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</si>
  <si>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</si>
  <si>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</si>
  <si>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</si>
  <si>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</si>
  <si>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</si>
  <si>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</si>
  <si>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</si>
  <si>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</si>
  <si>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</si>
  <si>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</si>
  <si>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</si>
  <si>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</si>
  <si>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</si>
  <si>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</si>
  <si>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</si>
  <si>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</si>
  <si>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</si>
  <si>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</si>
  <si>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</si>
  <si>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</si>
  <si>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</si>
  <si>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</si>
  <si>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</si>
  <si>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</si>
  <si>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</si>
  <si>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</si>
  <si>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</si>
  <si>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</si>
  <si>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</si>
  <si>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</si>
  <si>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</si>
  <si>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</si>
  <si>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</si>
  <si>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</si>
  <si>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</si>
  <si>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</si>
  <si>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</si>
  <si>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</si>
  <si>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</si>
  <si>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</si>
  <si>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</si>
  <si>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</si>
  <si>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</si>
  <si>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</si>
  <si>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</si>
  <si>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</si>
  <si>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</si>
  <si>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</si>
  <si>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</si>
  <si>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</si>
  <si>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</si>
  <si>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</si>
  <si>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</si>
  <si>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</si>
  <si>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</si>
  <si>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</si>
  <si>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</si>
  <si>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</si>
  <si>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</si>
  <si>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</si>
  <si>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</si>
  <si>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</si>
  <si>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</si>
  <si>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</si>
  <si>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</si>
  <si>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</si>
  <si>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</si>
  <si>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</si>
  <si>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</si>
  <si>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</si>
  <si>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</si>
  <si>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</si>
  <si>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</si>
  <si>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</si>
  <si>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</si>
  <si>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</si>
  <si>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</si>
  <si>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</si>
  <si>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</si>
  <si>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</si>
  <si>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</si>
  <si>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</si>
  <si>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</si>
  <si>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</si>
  <si>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</si>
  <si>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</si>
  <si>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</si>
  <si>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</si>
  <si>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</si>
  <si>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</si>
  <si>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</si>
  <si>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</si>
  <si>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</si>
  <si>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</si>
  <si>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</si>
  <si>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</si>
  <si>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</si>
  <si>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</si>
  <si>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</si>
  <si>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</si>
  <si>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</si>
  <si>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</si>
  <si>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</si>
  <si>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</si>
  <si>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</si>
  <si>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</si>
  <si>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</si>
  <si>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</si>
  <si>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</si>
  <si>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</si>
  <si>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</si>
  <si>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</si>
  <si>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</si>
  <si>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</si>
  <si>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</si>
  <si>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</si>
  <si>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</si>
  <si>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</si>
  <si>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</si>
  <si>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</si>
  <si>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</si>
  <si>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</si>
  <si>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</si>
  <si>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</si>
  <si>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</si>
  <si>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</si>
  <si>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</si>
  <si>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</si>
  <si>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</si>
  <si>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</si>
  <si>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</si>
  <si>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</si>
  <si>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</si>
  <si>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</si>
  <si>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</si>
  <si>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</si>
  <si>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</si>
  <si>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</si>
  <si>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</si>
  <si>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</si>
  <si>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</si>
  <si>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</si>
  <si>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</si>
  <si>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</si>
  <si>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</si>
  <si>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</si>
  <si>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</si>
  <si>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</si>
  <si>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</si>
  <si>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</si>
  <si>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</si>
  <si>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</si>
  <si>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</si>
  <si>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</si>
  <si>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</si>
  <si>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</si>
  <si>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</si>
  <si>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</si>
  <si>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</si>
  <si>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</si>
  <si>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</si>
  <si>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</si>
  <si>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</si>
  <si>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</si>
  <si>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</si>
  <si>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</si>
  <si>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</si>
  <si>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</si>
  <si>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</si>
  <si>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</si>
  <si>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</si>
  <si>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</si>
  <si>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</si>
  <si>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</si>
  <si>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</si>
  <si>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</si>
  <si>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</si>
  <si>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</si>
  <si>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</si>
  <si>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</si>
  <si>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</si>
  <si>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</si>
  <si>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</si>
  <si>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</si>
  <si>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</si>
  <si>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</si>
  <si>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</si>
  <si>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</si>
  <si>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</si>
  <si>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</si>
  <si>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</si>
  <si>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</si>
  <si>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</si>
  <si>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</si>
  <si>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</si>
  <si>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</si>
  <si>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</si>
  <si>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</si>
  <si>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</si>
  <si>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</si>
  <si>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</si>
  <si>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</si>
  <si>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</si>
  <si>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</si>
  <si>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</si>
  <si>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</si>
  <si>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</si>
  <si>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</si>
  <si>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</si>
  <si>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</si>
  <si>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</si>
  <si>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</si>
  <si>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</si>
  <si>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</si>
  <si>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</si>
  <si>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</si>
  <si>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</si>
  <si>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</si>
  <si>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</si>
  <si>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</si>
  <si>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</si>
  <si>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</si>
  <si>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</si>
  <si>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</si>
  <si>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</si>
  <si>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</si>
  <si>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</si>
  <si>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</si>
  <si>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</si>
  <si>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</si>
  <si>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</si>
  <si>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</si>
  <si>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</si>
  <si>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</si>
  <si>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</si>
  <si>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</si>
  <si>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</si>
  <si>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</si>
  <si>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</si>
  <si>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</si>
  <si>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</si>
  <si>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</si>
  <si>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</si>
  <si>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</si>
  <si>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</si>
  <si>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</si>
  <si>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</si>
  <si>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</si>
  <si>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</si>
  <si>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</si>
  <si>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</si>
  <si>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</si>
  <si>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</si>
  <si>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</si>
  <si>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</si>
  <si>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</si>
  <si>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</si>
  <si>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</si>
  <si>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</si>
  <si>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</si>
  <si>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</si>
  <si>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</si>
  <si>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</si>
  <si>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</si>
  <si>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</si>
  <si>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</si>
  <si>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</si>
  <si>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</si>
  <si>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</si>
  <si>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</si>
  <si>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</si>
  <si>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</si>
  <si>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</si>
  <si>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</si>
  <si>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</si>
  <si>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</si>
  <si>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</si>
  <si>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</si>
  <si>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</si>
  <si>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</si>
  <si>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</si>
  <si>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</si>
  <si>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</si>
  <si>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</si>
  <si>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</si>
  <si>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</si>
  <si>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</si>
  <si>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</si>
  <si>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</si>
  <si>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</si>
  <si>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</si>
  <si>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</si>
  <si>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</si>
  <si>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</si>
  <si>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</si>
  <si>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</si>
  <si>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</si>
  <si>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</si>
  <si>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</si>
  <si>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</si>
  <si>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</si>
  <si>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</si>
  <si>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</si>
  <si>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</si>
  <si>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</si>
  <si>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</si>
  <si>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</si>
  <si>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</si>
  <si>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</si>
  <si>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</si>
  <si>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</si>
  <si>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</si>
  <si>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</si>
  <si>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</si>
  <si>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</si>
  <si>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</si>
  <si>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</si>
  <si>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</si>
  <si>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</si>
  <si>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</si>
  <si>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</si>
  <si>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</si>
  <si>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</si>
  <si>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</si>
  <si>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</si>
  <si>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</si>
  <si>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</si>
  <si>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</si>
  <si>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</si>
  <si>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</si>
  <si>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</si>
  <si>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</si>
  <si>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</si>
  <si>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</si>
  <si>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</si>
  <si>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</si>
  <si>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</si>
  <si>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</si>
  <si>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</si>
  <si>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</si>
  <si>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</si>
  <si>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</si>
  <si>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</si>
  <si>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</si>
  <si>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</si>
  <si>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</si>
  <si>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</si>
  <si>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</si>
  <si>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</si>
  <si>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</si>
  <si>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</si>
  <si>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</si>
  <si>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</si>
  <si>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</si>
  <si>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</si>
  <si>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</si>
  <si>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</si>
  <si>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</si>
  <si>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</si>
  <si>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</si>
  <si>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</si>
  <si>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</si>
  <si>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</si>
  <si>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</si>
  <si>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</si>
  <si>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</si>
  <si>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</si>
  <si>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</si>
  <si>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</si>
  <si>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</si>
  <si>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</si>
  <si>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</si>
  <si>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</si>
  <si>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</si>
  <si>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</si>
  <si>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</si>
  <si>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</si>
  <si>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</si>
  <si>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</si>
  <si>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</si>
  <si>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</si>
  <si>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</si>
  <si>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</si>
  <si>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</si>
  <si>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</si>
  <si>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</si>
  <si>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</si>
  <si>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</si>
  <si>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</si>
  <si>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</si>
  <si>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</si>
  <si>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</si>
  <si>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</si>
  <si>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</si>
  <si>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</si>
  <si>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</si>
  <si>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</si>
  <si>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</si>
  <si>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</si>
  <si>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</si>
  <si>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</si>
  <si>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</si>
  <si>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</si>
  <si>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</si>
  <si>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</si>
  <si>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</si>
  <si>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</si>
  <si>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</si>
  <si>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</si>
  <si>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</si>
  <si>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</si>
  <si>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</si>
  <si>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</si>
  <si>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</si>
  <si>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</si>
  <si>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</si>
  <si>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</si>
  <si>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</si>
  <si>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</si>
  <si>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</si>
  <si>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</si>
  <si>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</si>
  <si>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</si>
  <si>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</si>
  <si>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</si>
  <si>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</si>
  <si>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</si>
  <si>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</si>
  <si>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</si>
  <si>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</si>
  <si>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</si>
  <si>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</si>
  <si>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</si>
  <si>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</si>
  <si>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</si>
  <si>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</si>
  <si>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</si>
  <si>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</si>
  <si>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</si>
  <si>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</si>
  <si>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</si>
  <si>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</si>
  <si>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</si>
  <si>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</si>
  <si>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</si>
  <si>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</si>
  <si>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</si>
  <si>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</si>
  <si>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</si>
  <si>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</si>
  <si>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</si>
  <si>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</si>
  <si>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</si>
  <si>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</si>
  <si>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</si>
  <si>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</si>
  <si>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</si>
  <si>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</si>
  <si>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</si>
  <si>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</si>
  <si>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</si>
  <si>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</si>
  <si>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</si>
  <si>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</si>
  <si>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</si>
  <si>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</si>
  <si>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</si>
  <si>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</si>
  <si>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</si>
  <si>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</si>
  <si>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</si>
  <si>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</si>
  <si>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</si>
  <si>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</si>
  <si>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</si>
  <si>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</si>
  <si>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</si>
  <si>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</si>
  <si>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</si>
  <si>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</si>
  <si>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</si>
  <si>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</si>
  <si>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</si>
  <si>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</si>
  <si>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</si>
  <si>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</si>
  <si>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</si>
  <si>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</si>
  <si>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</si>
  <si>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</si>
  <si>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</si>
  <si>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</si>
  <si>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</si>
  <si>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</si>
  <si>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</si>
  <si>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</si>
  <si>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</si>
  <si>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</si>
  <si>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</si>
  <si>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</si>
  <si>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</si>
  <si>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</si>
  <si>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</si>
  <si>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</si>
  <si>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</si>
  <si>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</si>
  <si>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</si>
  <si>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</si>
  <si>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</si>
  <si>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</si>
  <si>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</si>
  <si>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</si>
  <si>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</si>
  <si>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</si>
  <si>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</si>
  <si>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</si>
  <si>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</si>
  <si>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</si>
  <si>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</si>
  <si>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</si>
  <si>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</si>
  <si>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</si>
  <si>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</si>
  <si>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</si>
  <si>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</si>
  <si>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</si>
  <si>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</si>
  <si>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</si>
  <si>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</si>
  <si>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</si>
  <si>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</si>
  <si>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</si>
  <si>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</si>
  <si>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</si>
  <si>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</si>
  <si>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</si>
  <si>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</si>
  <si>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</si>
  <si>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</si>
  <si>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</si>
  <si>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</si>
  <si>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</si>
  <si>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</si>
  <si>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</si>
  <si>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</si>
  <si>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</si>
  <si>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</si>
  <si>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</si>
  <si>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</si>
  <si>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</si>
  <si>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</si>
  <si>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</si>
  <si>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</si>
  <si>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</si>
  <si>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</si>
  <si>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</si>
  <si>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</si>
  <si>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</si>
  <si>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</si>
  <si>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</si>
  <si>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</si>
  <si>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</si>
  <si>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</si>
  <si>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</si>
  <si>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</si>
  <si>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</si>
  <si>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</si>
  <si>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</si>
  <si>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</si>
  <si>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</si>
  <si>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</si>
  <si>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</si>
  <si>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</si>
  <si>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</si>
  <si>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</si>
  <si>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</si>
  <si>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</si>
  <si>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</si>
  <si>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</si>
  <si>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</si>
  <si>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</si>
  <si>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</si>
  <si>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</si>
  <si>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</si>
  <si>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</si>
  <si>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</si>
  <si>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</si>
  <si>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</si>
  <si>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</si>
  <si>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</si>
  <si>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</si>
  <si>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</si>
  <si>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</si>
  <si>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</si>
  <si>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</si>
  <si>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</si>
  <si>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</si>
  <si>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</si>
  <si>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</si>
  <si>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</si>
  <si>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</si>
  <si>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</si>
  <si>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</si>
  <si>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</si>
  <si>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</si>
  <si>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</si>
  <si>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</si>
  <si>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</si>
  <si>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</si>
  <si>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</si>
  <si>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</si>
  <si>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</si>
  <si>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</si>
  <si>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</si>
  <si>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</si>
  <si>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</si>
  <si>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</si>
  <si>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</si>
  <si>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</si>
  <si>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</si>
  <si>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</si>
  <si>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</si>
  <si>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</si>
  <si>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</si>
  <si>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</si>
  <si>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</si>
  <si>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</si>
  <si>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</si>
  <si>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</si>
  <si>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</si>
  <si>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</si>
  <si>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</si>
  <si>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</si>
  <si>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</si>
  <si>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</si>
  <si>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</si>
  <si>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</si>
  <si>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</si>
  <si>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</si>
  <si>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</si>
  <si>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</si>
  <si>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</si>
  <si>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</si>
  <si>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</si>
  <si>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</si>
  <si>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</si>
  <si>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</si>
  <si>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Type:</t>
  </si>
  <si>
    <t>-&gt;</t>
  </si>
  <si>
    <t>&lt;-</t>
  </si>
  <si>
    <t>Use Aim when you point a pistol at someone and pull the trigger. Use Aim when you throw a knife across a crowded room with pinpoint accuracy, whether your target is a person or an object.</t>
  </si>
  <si>
    <t>Use Athletics to swing across a room on a chandelier, jump from rooftop-to-rooftop, or otherwise perform a dangerous physical stunt.</t>
  </si>
  <si>
    <t>Use Brawl whenever you punch or kick someone in the face. Use Brawl when you grab someone and drag him down an alleyway.</t>
  </si>
  <si>
    <t>Use Convince when you appeal to another character’s better nature. Use Convince when you assure someone you’re being completely honest with her and she should trust you.</t>
  </si>
  <si>
    <t>Use Empathy when you want to tell if someone is being genuine. Use Empathy when you determine someone’s general mental state—they’re afraid, they’re nervous, they’re angry.</t>
  </si>
  <si>
    <t>Use Hide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</si>
  <si>
    <t>Use Intimidate when you make someone do what you want under threat of some action from you, physical or otherwise.</t>
  </si>
  <si>
    <t>Use Notice when you investigate a crime scene or search a Villain’s study for clues. Use Notice when you want to pick out fine details at a glance.</t>
  </si>
  <si>
    <t>Use Perform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</si>
  <si>
    <t>Use Ride when you engage in a high-speed carriage chase. Use Ride when you ride a horse through the forest at a gallop.</t>
  </si>
  <si>
    <t>Use Sailing whenever you navigate your way through a ship’s rigging. Use Sailing when you attempt to steer a ship during a pitched battle at sea, or through a dangerously narrow channel.</t>
  </si>
  <si>
    <t>Use Scholarship when you wax ecstatic about a certain subject matter, either from personal experience or teachings. Use Scholarship when you consult your knowledge to fill in the details on a certain subject. Use Scholarship when you call upon your medical training to tend to an injury.</t>
  </si>
  <si>
    <t>Use Tempt when you bribe someone to do something for you that she really shouldn’t agree to do. Use Tempt when you convince someone to give you a little “alone time.”</t>
  </si>
  <si>
    <t>Use Theft when you swipe something from someone’s pocket without him noticing. Use Theft when you pick a lock, crack a safe, or something similar.</t>
  </si>
  <si>
    <t>Use Warfare whenever you need tactical expertise, such as when you’re breaching a castle’s defense. Use Warfare when you lead an army in battle.</t>
  </si>
  <si>
    <t>Use Weaponry when you attack something with a sword, axe, hammer, or knife in your hand.</t>
  </si>
  <si>
    <r>
      <t xml:space="preserve">Use </t>
    </r>
    <r>
      <rPr>
        <b/>
        <sz val="11"/>
        <color theme="1"/>
        <rFont val="Calibri"/>
        <family val="2"/>
        <scheme val="minor"/>
      </rPr>
      <t>Aim</t>
    </r>
    <r>
      <rPr>
        <sz val="11"/>
        <color theme="1"/>
        <rFont val="Calibri"/>
        <family val="2"/>
        <scheme val="minor"/>
      </rPr>
      <t xml:space="preserve"> when you point a pistol at someone and pull the trigger. Use Aim when you throw a knife across a crowded room with pinpoint accuracy, whether your target is a person or an object.</t>
    </r>
  </si>
  <si>
    <r>
      <t xml:space="preserve">Use </t>
    </r>
    <r>
      <rPr>
        <b/>
        <sz val="11"/>
        <color theme="1"/>
        <rFont val="Calibri"/>
        <family val="2"/>
        <scheme val="minor"/>
      </rPr>
      <t>Athletics</t>
    </r>
    <r>
      <rPr>
        <sz val="11"/>
        <color theme="1"/>
        <rFont val="Calibri"/>
        <family val="2"/>
        <scheme val="minor"/>
      </rPr>
      <t xml:space="preserve"> to swing across a room on a chandelier, jump from rooftop-to-rooftop, or otherwise perform a dangerous physical stunt.</t>
    </r>
  </si>
  <si>
    <r>
      <t xml:space="preserve">Use </t>
    </r>
    <r>
      <rPr>
        <b/>
        <sz val="11"/>
        <color theme="1"/>
        <rFont val="Calibri"/>
        <family val="2"/>
        <scheme val="minor"/>
      </rPr>
      <t>Brawl</t>
    </r>
    <r>
      <rPr>
        <sz val="11"/>
        <color theme="1"/>
        <rFont val="Calibri"/>
        <family val="2"/>
        <scheme val="minor"/>
      </rPr>
      <t xml:space="preserve"> whenever you punch or kick someone in the face. Use Brawl when you grab someone and drag him down an alleyway.</t>
    </r>
  </si>
  <si>
    <r>
      <t xml:space="preserve">Use </t>
    </r>
    <r>
      <rPr>
        <b/>
        <sz val="11"/>
        <color theme="1"/>
        <rFont val="Calibri"/>
        <family val="2"/>
        <scheme val="minor"/>
      </rPr>
      <t>Convince</t>
    </r>
    <r>
      <rPr>
        <sz val="11"/>
        <color theme="1"/>
        <rFont val="Calibri"/>
        <family val="2"/>
        <scheme val="minor"/>
      </rPr>
      <t xml:space="preserve"> when you appeal to another character’s better nature. Use Convince when you assure someone you’re being completely honest with her and she should trust you.</t>
    </r>
  </si>
  <si>
    <r>
      <t xml:space="preserve">Use </t>
    </r>
    <r>
      <rPr>
        <b/>
        <sz val="11"/>
        <color theme="1"/>
        <rFont val="Calibri"/>
        <family val="2"/>
        <scheme val="minor"/>
      </rPr>
      <t>Empathy</t>
    </r>
    <r>
      <rPr>
        <sz val="11"/>
        <color theme="1"/>
        <rFont val="Calibri"/>
        <family val="2"/>
        <scheme val="minor"/>
      </rPr>
      <t xml:space="preserve"> when you want to tell if someone is being genuine. Use Empathy when you determine someone’s general mental state—they’re afraid, they’re nervous, they’re angry.</t>
    </r>
  </si>
  <si>
    <r>
      <t xml:space="preserve">Use </t>
    </r>
    <r>
      <rPr>
        <b/>
        <sz val="11"/>
        <color theme="1"/>
        <rFont val="Calibri"/>
        <family val="2"/>
        <scheme val="minor"/>
      </rPr>
      <t>Hide</t>
    </r>
    <r>
      <rPr>
        <sz val="11"/>
        <color theme="1"/>
        <rFont val="Calibri"/>
        <family val="2"/>
        <scheme val="minor"/>
      </rPr>
      <t xml:space="preserve"> when you sneak through a dark room without the guard on watch seeing you. Use Hide when you keep a weapon or other item hidden, and avoid it being found if you are searched. Use Hide to attack an unsuspecting victim with a weapon or your fists. Use Hide to construct a disguise or camouflage a location.</t>
    </r>
  </si>
  <si>
    <r>
      <t xml:space="preserve">Use </t>
    </r>
    <r>
      <rPr>
        <b/>
        <sz val="11"/>
        <color theme="1"/>
        <rFont val="Calibri"/>
        <family val="2"/>
        <scheme val="minor"/>
      </rPr>
      <t>Intimidate</t>
    </r>
    <r>
      <rPr>
        <sz val="11"/>
        <color theme="1"/>
        <rFont val="Calibri"/>
        <family val="2"/>
        <scheme val="minor"/>
      </rPr>
      <t xml:space="preserve"> when you make someone do what you want under threat of some action from you, physical or otherwise.</t>
    </r>
  </si>
  <si>
    <r>
      <t xml:space="preserve">Use </t>
    </r>
    <r>
      <rPr>
        <b/>
        <sz val="11"/>
        <color theme="1"/>
        <rFont val="Calibri"/>
        <family val="2"/>
        <scheme val="minor"/>
      </rPr>
      <t>Weaponry</t>
    </r>
    <r>
      <rPr>
        <sz val="11"/>
        <color theme="1"/>
        <rFont val="Calibri"/>
        <family val="2"/>
        <scheme val="minor"/>
      </rPr>
      <t xml:space="preserve"> when you attack something with a sword, axe, hammer, or knife in your hand.</t>
    </r>
  </si>
  <si>
    <r>
      <t xml:space="preserve">Use </t>
    </r>
    <r>
      <rPr>
        <b/>
        <sz val="11"/>
        <color theme="1"/>
        <rFont val="Calibri"/>
        <family val="2"/>
        <scheme val="minor"/>
      </rPr>
      <t>Warfare</t>
    </r>
    <r>
      <rPr>
        <sz val="11"/>
        <color theme="1"/>
        <rFont val="Calibri"/>
        <family val="2"/>
        <scheme val="minor"/>
      </rPr>
      <t xml:space="preserve"> whenever you need tactical expertise, such as when you’re breaching a castle’s defense. Use Warfare when you lead an army in battle.</t>
    </r>
  </si>
  <si>
    <r>
      <t xml:space="preserve">Use </t>
    </r>
    <r>
      <rPr>
        <b/>
        <sz val="11"/>
        <color theme="1"/>
        <rFont val="Calibri"/>
        <family val="2"/>
        <scheme val="minor"/>
      </rPr>
      <t>Theft</t>
    </r>
    <r>
      <rPr>
        <sz val="11"/>
        <color theme="1"/>
        <rFont val="Calibri"/>
        <family val="2"/>
        <scheme val="minor"/>
      </rPr>
      <t xml:space="preserve"> when you swipe something from someone’s pocket without him noticing. Use Theft when you pick a lock, crack a safe, or something similar.</t>
    </r>
  </si>
  <si>
    <r>
      <t xml:space="preserve">Use </t>
    </r>
    <r>
      <rPr>
        <b/>
        <sz val="11"/>
        <color theme="1"/>
        <rFont val="Calibri"/>
        <family val="2"/>
        <scheme val="minor"/>
      </rPr>
      <t xml:space="preserve">Tempt </t>
    </r>
    <r>
      <rPr>
        <sz val="11"/>
        <color theme="1"/>
        <rFont val="Calibri"/>
        <family val="2"/>
        <scheme val="minor"/>
      </rPr>
      <t>when you bribe someone to do something for you that she really shouldn’t agree to do. Use Tempt when you convince someone to give you a little “alone time.”</t>
    </r>
  </si>
  <si>
    <r>
      <t xml:space="preserve">Use </t>
    </r>
    <r>
      <rPr>
        <b/>
        <sz val="11"/>
        <color theme="1"/>
        <rFont val="Calibri"/>
        <family val="2"/>
        <scheme val="minor"/>
      </rPr>
      <t>Scholarship</t>
    </r>
    <r>
      <rPr>
        <sz val="11"/>
        <color theme="1"/>
        <rFont val="Calibri"/>
        <family val="2"/>
        <scheme val="minor"/>
      </rPr>
      <t xml:space="preserve"> when you wax ecstatic about a certain subject matter, either from personal experience or teachings. Use Scholarship when you consult your knowledge to fill in the details on a certain subject. Use Scholarship when you call upon your medical training to tend to an injury.</t>
    </r>
  </si>
  <si>
    <r>
      <t xml:space="preserve">Use </t>
    </r>
    <r>
      <rPr>
        <b/>
        <sz val="11"/>
        <color theme="1"/>
        <rFont val="Calibri"/>
        <family val="2"/>
        <scheme val="minor"/>
      </rPr>
      <t>Sailing</t>
    </r>
    <r>
      <rPr>
        <sz val="11"/>
        <color theme="1"/>
        <rFont val="Calibri"/>
        <family val="2"/>
        <scheme val="minor"/>
      </rPr>
      <t xml:space="preserve"> whenever you navigate your way through a ship’s rigging. Use Sailing when you attempt to steer a ship during a pitched battle at sea, or through a dangerously narrow channel.</t>
    </r>
  </si>
  <si>
    <r>
      <t xml:space="preserve">Use </t>
    </r>
    <r>
      <rPr>
        <b/>
        <sz val="11"/>
        <color theme="1"/>
        <rFont val="Calibri"/>
        <family val="2"/>
        <scheme val="minor"/>
      </rPr>
      <t>Ride</t>
    </r>
    <r>
      <rPr>
        <sz val="11"/>
        <color theme="1"/>
        <rFont val="Calibri"/>
        <family val="2"/>
        <scheme val="minor"/>
      </rPr>
      <t xml:space="preserve"> when you engage in a high-speed carriage chase. Use Ride when you ride a horse through the forest at a gallop.</t>
    </r>
  </si>
  <si>
    <r>
      <t xml:space="preserve">Use </t>
    </r>
    <r>
      <rPr>
        <b/>
        <sz val="11"/>
        <color theme="1"/>
        <rFont val="Calibri"/>
        <family val="2"/>
        <scheme val="minor"/>
      </rPr>
      <t>Notice</t>
    </r>
    <r>
      <rPr>
        <sz val="11"/>
        <color theme="1"/>
        <rFont val="Calibri"/>
        <family val="2"/>
        <scheme val="minor"/>
      </rPr>
      <t xml:space="preserve"> when you investigate a crime scene or search a Villain’s study for clues. Use Notice when you want to pick out fine details at a glance.</t>
    </r>
  </si>
  <si>
    <r>
      <t xml:space="preserve">Use </t>
    </r>
    <r>
      <rPr>
        <b/>
        <sz val="11"/>
        <color theme="1"/>
        <rFont val="Calibri"/>
        <family val="2"/>
        <scheme val="minor"/>
      </rPr>
      <t>Perform</t>
    </r>
    <r>
      <rPr>
        <sz val="11"/>
        <color theme="1"/>
        <rFont val="Calibri"/>
        <family val="2"/>
        <scheme val="minor"/>
      </rPr>
      <t xml:space="preserve"> when you try to captivate an audience with your showmanship. Use Perform to get across a particular message to your audience or to elicit a specific emotion from them through your performance— to make them laugh at your comedy, to make them weep at your tragedy, to rile them up with a motivational speech, etc.</t>
    </r>
  </si>
  <si>
    <t xml:space="preserve">Sorcery Level: </t>
  </si>
  <si>
    <t>Ability Descriptions</t>
  </si>
  <si>
    <t>Any skill at 3: reroll 1 die when using that skill</t>
  </si>
  <si>
    <t>Any skill at 4: can get 2 raises with sets of 15</t>
  </si>
  <si>
    <t>Any skill at 5: 10's explode</t>
  </si>
  <si>
    <t>Skill at 3: reroll 1 die</t>
  </si>
  <si>
    <t>Skill at 4: can get 2 raises with sets of 15</t>
  </si>
  <si>
    <t>Skill at 5: 10's explode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</si>
  <si>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fine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</si>
  <si>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can spend a Hero Point to locate a fixer, an information broker, a black market, or a similar underworld figure.</t>
  </si>
  <si>
    <t>If you are in the wilderness, you can forage or hunt and find enough food for yourself and up to five other people. Under extreme circumstances—lost in the middle of a desert, or abandoned in the Ussuran tundra, for example—you find enough food for yourself and up to two other people.</t>
  </si>
  <si>
    <t>You attended one of Theah’s formal universities and are familiar with many academic fields of study such as mathematics, architecture, and astronomy. When you make a Risk using Scholarship, Empathy, or Notice, all of your dice gain +1 to their value.</t>
  </si>
  <si>
    <t>As long as you have a clear line of sight, you can see perfectly out to a distance of one mile. If you use a spyglass you can even pick out fine details, such as the inscription carved into a wedding band. If you make a Risk that relies heavily on your keen vision, you gain 1 Bonus Die.</t>
  </si>
  <si>
    <t>You have a small group of individuals who are devoted to you, or a single trusted ally who would walk through fire for you (a bodyguard, a horse, etc.). If your allies directly aid you in a Risk, you gain a Bonus Die if you describe specifically how they aid you. If you send them out to accomplish something else and they need to make a Risk (GM discretion), they roll five dice. Your Trusted Companion can take 5 Wounds before he becomes Helpless, and will more than likely require you to rescue him.</t>
  </si>
  <si>
    <t>The Sheet tab imports the information from the builder tab onto something similar to the character sheet provided in the rulebook.  It has a second page to it that copies the descriptions of various things listed on the main sheet, but due to how excel treats wrapped text some rows may need to be resized before printing.</t>
  </si>
  <si>
    <t>The adv shuffle tab (hidden by default) is a series of functions to remove the blanks between advantages before loading them onto the sheets.</t>
  </si>
  <si>
    <t>The Styles tab (hidden by default) has tables for the fighting styles and sorcery descriptions.</t>
  </si>
  <si>
    <t>1.0.4</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</si>
  <si>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</si>
  <si>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You cannot purchase the “Small” Advantage. Gain 1 Bonus Die on any Risk that is easier due to your size—using Athletics to run at full speed even while carrying another Hero, or looming over someone in order to Intimidate them.</t>
  </si>
  <si>
    <t>Spend a Hero Point to convince another character to grant you an object you want at no cost. They might give you something they already have or go to some lengths—legal or illegal—to procure the item, whatever is the easiest way for them to get their hands on what you want.</t>
  </si>
  <si>
    <t>Added descriptions to the builder tab, added a page of descriptions to the Sheets tab.  Fixed Large adv, schools printout, and various misspellings.</t>
  </si>
  <si>
    <t>The Explorer's Society</t>
  </si>
  <si>
    <t>1.0.5</t>
  </si>
  <si>
    <t>Fixed errors on backgrounds with overlapping advantages.</t>
  </si>
  <si>
    <t>1.0.6</t>
  </si>
  <si>
    <t>Descriptions</t>
  </si>
  <si>
    <t>Fixed Cast Iron Stomach lookup error, fixed minor glamours</t>
  </si>
  <si>
    <t>Aragosta</t>
  </si>
  <si>
    <t>Jaragua</t>
  </si>
  <si>
    <t>La Bucca</t>
  </si>
  <si>
    <t>Numa</t>
  </si>
  <si>
    <t>Rahuri</t>
  </si>
  <si>
    <t>1.1.0</t>
  </si>
  <si>
    <t>Atabean Rook</t>
  </si>
  <si>
    <t>You may not be royalty, but the alleys of Fort Freedom are your kingdom; its forgotten urchins are your subjects.</t>
  </si>
  <si>
    <t>Earn a Hero Point when you use your reputation or status to help another character.</t>
  </si>
  <si>
    <t>Salty Dog</t>
  </si>
  <si>
    <t>Eye for Talent</t>
  </si>
  <si>
    <t>Company Escapee</t>
  </si>
  <si>
    <t>You escaped the ATC’s clutches and now strive to make every day the Company exists more costly than yesterday.</t>
  </si>
  <si>
    <t>Earn a Hero Point when you subvert the Company’s plans or sabotage its income stream.</t>
  </si>
  <si>
    <t>Seahorse</t>
  </si>
  <si>
    <t>Thean Outcast</t>
  </si>
  <si>
    <t>Earn a Hero Point when you deliver an important message—written or otherwise.</t>
  </si>
  <si>
    <t>Only the brave or foolhardy would take a job delivering the mail across the Atabean Sea. Guess that means you.</t>
  </si>
  <si>
    <t>Married to the Sea</t>
  </si>
  <si>
    <t>Wheel Man</t>
  </si>
  <si>
    <t>Earn a Hero Point when you side with your new, adopted homeland in favor of Théan tradition, people, or values, and doing so gets you into trouble.</t>
  </si>
  <si>
    <t>Your crimes (real or imagined) caught up to you. Well, if Théah doesn’t want you, you don’t want it either!</t>
  </si>
  <si>
    <t>Freebooter</t>
  </si>
  <si>
    <t>The deck beneath your feet, sun on your face, and wind at your back. With those three things, nothing else matters.</t>
  </si>
  <si>
    <t>Earn a Hero Point when you convince another character to join you on a journey at sea.</t>
  </si>
  <si>
    <t>Atabean Traveler</t>
  </si>
  <si>
    <t>Troubleshooter</t>
  </si>
  <si>
    <t>Earn a Hero Point when you spend all your Raises on shooting a target and suffer Consequences because of it.</t>
  </si>
  <si>
    <t>The distant sight of an enemy captain directing his crew to open fire. Nobody could make that shot…nobody but you.</t>
  </si>
  <si>
    <t>Rum Runner</t>
  </si>
  <si>
    <t>Earn a Hero Point when you sail your ship into forbidden waters.</t>
  </si>
  <si>
    <t>You said you’d make the delivery, and you’ll be damned if something as minor as a blockade is going to stop you.</t>
  </si>
  <si>
    <t>My Word is my Bond</t>
  </si>
  <si>
    <t>Lost Soul</t>
  </si>
  <si>
    <t>Earn a Hero Point when you prevent the Devil Jonah from claiming another soul.</t>
  </si>
  <si>
    <t>Once, you sold a sliver of your soul. And you’ll never let anyone make the same mistake.</t>
  </si>
  <si>
    <t>The Devil's Due</t>
  </si>
  <si>
    <t>Insistent</t>
  </si>
  <si>
    <t>Nganga</t>
  </si>
  <si>
    <t>Earn a Hero Point when you use your spiritual knowledge and skills to aid a community.</t>
  </si>
  <si>
    <t>Your people trust you to interpret the will of the spirits and to aid them when they need it most.</t>
  </si>
  <si>
    <t>Mawon</t>
  </si>
  <si>
    <t>Earn a Hero Point when you defeat an enemy using guerilla tactics.</t>
  </si>
  <si>
    <t>We Share Our Victories</t>
  </si>
  <si>
    <t>The enemies of Jaragua may think you are weak and cowardly, but the opinion of the dead means little.</t>
  </si>
  <si>
    <t>Ajan Provocateur</t>
  </si>
  <si>
    <t>Earn a Hero Point when you gain a new ally for Jaragua.</t>
  </si>
  <si>
    <t>Sweeten the Pot</t>
  </si>
  <si>
    <t>Jaragua needs allies, coin, and trade. You know how to get what your Nation needs.</t>
  </si>
  <si>
    <t>Enspektè</t>
  </si>
  <si>
    <t>Earn a Hero Point when you learn a secret about a Monster.</t>
  </si>
  <si>
    <t>Nerves of Steel</t>
  </si>
  <si>
    <t>The horrors of Jaragua seek to break your people, but you are their protector and you are unbreakable.</t>
  </si>
  <si>
    <t>Siren</t>
  </si>
  <si>
    <t>There is no sixth Chapter. Not until you’re needed.</t>
  </si>
  <si>
    <t>Earn a Hero Point when you resolve a problem using stealth and subterfuge rather than direct confrontation.</t>
  </si>
  <si>
    <t>Chapter Member</t>
  </si>
  <si>
    <t>Earn a Hero Point when you fulfil the duties of your Chapter.</t>
  </si>
  <si>
    <t>La Palabra</t>
  </si>
  <si>
    <t>Cross the Palm</t>
  </si>
  <si>
    <t>La Bucca only operates if the Chapters work together.</t>
  </si>
  <si>
    <t>Sentinel</t>
  </si>
  <si>
    <t>Speed Load</t>
  </si>
  <si>
    <t>In La Bucca, you have two options. Be quick, or be dead. You favor the former.</t>
  </si>
  <si>
    <t>Earn a Hero Point when you beat another character to the draw.</t>
  </si>
  <si>
    <t>Los Niños</t>
  </si>
  <si>
    <t>Earn a Hero Point when you protect a brother or sister.</t>
  </si>
  <si>
    <t>Whisper to Mother</t>
  </si>
  <si>
    <t>La Madre brought you here for a reason. And when you arrived, she whispered it into your ear.</t>
  </si>
  <si>
    <t>Docent</t>
  </si>
  <si>
    <t>Is Théah worthy of the friendship of Numa? You will put them to the test.</t>
  </si>
  <si>
    <t>Earn a Hero Point when you push another character to live up to his potential, even when it means trouble.</t>
  </si>
  <si>
    <t>Haimon</t>
  </si>
  <si>
    <t>Earn a Hero Point when you take on a dangerous task for no other reason than it will bring you glory.</t>
  </si>
  <si>
    <t>Seize Your Glory</t>
  </si>
  <si>
    <t>Your glory lies there, before your eyes. Nothing will stop you from claiming it.</t>
  </si>
  <si>
    <t>Mystai</t>
  </si>
  <si>
    <t>Earn a Hero Point when you thwart the mystai of Hecteba.</t>
  </si>
  <si>
    <t>The human spirit is capable of incredible things. You will demonstrate this to the world.</t>
  </si>
  <si>
    <t>Myrmidon</t>
  </si>
  <si>
    <t>Earn a Hero Point when you impress the crew of a foreign ship with your daring.</t>
  </si>
  <si>
    <t>The Ocean's Favorite</t>
  </si>
  <si>
    <t>Théah has forgotten the name of Numa for too long. It’s time for you to remind them of the Father of the World.</t>
  </si>
  <si>
    <t>Boriqua</t>
  </si>
  <si>
    <t>Earn a Hero Point when you win a diplomatic contest with a threat of violence.</t>
  </si>
  <si>
    <t>By the weight of your words or the strength of your arms, you will protect your people.</t>
  </si>
  <si>
    <t>Bohiti</t>
  </si>
  <si>
    <t>Earn a Hero Point when you solve the problem of a Lost ancestor.</t>
  </si>
  <si>
    <t>Ambassador to Soryana, bridge between your people and their predecessors. This is your sacred responsibility.</t>
  </si>
  <si>
    <t>Seeker of Soryana</t>
  </si>
  <si>
    <t>Wave Hunter</t>
  </si>
  <si>
    <t>Earn a Hero Point when you defeat a Sea Monster.</t>
  </si>
  <si>
    <t>I Cannot Be Broken</t>
  </si>
  <si>
    <t>The only thing you need to bring down fearsome Monsters is your wits and your harpoon.</t>
  </si>
  <si>
    <t>Horizon Chaser</t>
  </si>
  <si>
    <t>Earn a Hero Point when you set foot in a place you’ve never visited.</t>
  </si>
  <si>
    <t>The Atabean is a wonder to behold, but you dream of places even more amazing. There is an entire world to see.</t>
  </si>
  <si>
    <t>When you spend Wealth to hire a Brute Squad, that Brute Squad’s Strength is 1 point higher.</t>
  </si>
  <si>
    <t>Letter of Marque</t>
  </si>
  <si>
    <t xml:space="preserve">You or another Hero must possess the “Married to the Sea” Advantage Choose a Théan Nation. You have a Letter of Marque from that Nation’s government, giving your Ship’s crew permission to operate your vessel. Any privateers or military vessels from that Nation will not harass you so long as you present them your Letter, and you suffer no legal ramifications from “privateer activities” from that Nation. The agents of other Nations are typically unimpressed, although on rare occasion Théan politics may play to your advantage. </t>
  </si>
  <si>
    <t>Agoge Weapon Mastery</t>
  </si>
  <si>
    <t>Requires Lakedaimon Agoge. Choose an additional weapon from the list of Agoge weapons (page XX). You gain the appropriate bonus when you wield it.</t>
  </si>
  <si>
    <t>When you spend Wealth to re-roll a die in a social Risk swayable by money, you can re-roll up to 2 dice instead of 1.</t>
  </si>
  <si>
    <t>Devil Dog</t>
  </si>
  <si>
    <t>You or another Hero must possess the “Married to the Sea” Advantage Spend a Hero Point. Any Crew Squads under your command this round roll 2 Bonus Dice on any Risk.</t>
  </si>
  <si>
    <t>When you apply Pressure to another character, spend a Hero Point. The effect of your Pressure lasts until the end of the Round.</t>
  </si>
  <si>
    <t>Spend a Hero Point. You reload a single firearm you are carrying with only a single Raise, rather than the 5 it would normally take.</t>
  </si>
  <si>
    <t>Tavern Favorite</t>
  </si>
  <si>
    <t>When you make a Perform Risk in a “low-class” place such as a dockside tavern, a street corner, or somewhere similar, you gain 1 Bonus Die.</t>
  </si>
  <si>
    <t>Spend a Hero Point while within the Atabean Sea to know the direction to the closest land, find fresh food/ water, or to ask the GM a single yes or no question about your environment or creature you've encountered.</t>
  </si>
  <si>
    <t>Frog Man</t>
  </si>
  <si>
    <t>When you make an Athletics Risk that involves swimming, you gain 1 Bonus Die.</t>
  </si>
  <si>
    <t>Whenever you spend a Hero Point to give yourself Bonus Dice in a Risk against a creature or character with a Monster Quality, you gain 1 re-roll in addition to the normal effects of your Hero Point.</t>
  </si>
  <si>
    <t>Powder Monkey</t>
  </si>
  <si>
    <t>When you make an Aim Risk to fire a ship’s cannons, you gain 2 Bonus Dice.</t>
  </si>
  <si>
    <t>You must posses the “Married to the Sea” Advantage. As long as you are Captain of your Ship: Before you roll dice at the beginning of a Round, you may spend a Hero Point to reorganize your Crew Squads. When you spend a Hero Point to aid a Hero who is aboard your Ship, they gain 4 bonus dice instead of 3. You gain 1 Bonus Die for any Risk you take aboard your Ship.</t>
  </si>
  <si>
    <t>Gain a Bonus Die when you make a Risk to steer a ship through treacherous waters, avoid enemy fire, or when your expertise at the helm would come in handy.</t>
  </si>
  <si>
    <t>You learned the ways of life and survival aboard the pitching deck of a ship at sea. When you make a Risk using Sailing, Theft, or Intimidate, all of your dice gain +1 to their value.</t>
  </si>
  <si>
    <t>You cut part of yourself off and tossed it into the sea, offering it to the Devil Jonah. In return you were granted a gift, a unique (and often grisly) artifact with strange properties. Choose a piece of your body that you have lost. In its place, you possess a magical artifact with unique abilities. You can spend a Hero Point to activate your object’s special ability, and it continues to function for the remainder of the Scene.</t>
  </si>
  <si>
    <t>You know the secret pathways to Soryana, the Isle of the Dead. When exploring the wilderness or sailing, you can spend a Hero Point to find Soryana and gain an audience with Locuo. You can plead your case before him, and if he finds your cause just he will grant you the companionship of an appropriate ancestor.</t>
  </si>
  <si>
    <t>Spend a Hero Point and spill a small amount of your own blood into your hand. You whisper the name of a brother or sister, or choose to address Mother. You can make a single statement or ask a question, and the other person hears you. Then you can hear her whispered response (responding does not require the expenditure of a Hero Point). Longer conversations are possible, but require an additional Hero Point for each further exchange.</t>
  </si>
  <si>
    <t>When you spend a Hero Point to gain Bonus Dice on a Risk that directly relates to completing a step in your Hero Story, you gain 2 Bonus Dice instead of 1.</t>
  </si>
  <si>
    <t>My Word is My Bond</t>
  </si>
  <si>
    <t>Spend any number of Hero Points and make a promise to another character. For the rest of the scene, when you make a Risk in pursuit of fulfilling your promise you gain one Raise for each Hero Point you spent to activate this Advantage. If your promise is unfulfilled at the end of the scene, you lose all Hero Points and you cannot gain Hero Points for the rest of the game session. If your promise is fulfilled before the end of the scene, you gain a Hero Point. A Hero may only activate this Advantage once per game session.</t>
  </si>
  <si>
    <t>You are familiar with the surprisingly complex code of gestures and phrases that La Bucca uses to conduct business quietly. When you speak with another character who has this Advantage, you can give that character a message that others do not understand or do not notice.</t>
  </si>
  <si>
    <t>When you help another Hero complete a step in his personal Hero Story, you gain a Hero Point. Whenever another Hero helps you complete a step in your personal Hero Story, he gains a Hero Point.</t>
  </si>
  <si>
    <t>Vengeful</t>
  </si>
  <si>
    <t>The Devil Jonah</t>
  </si>
  <si>
    <t>Activate your Virtue when enact poetic justice, make someone pay their due or force someone to follow on a bargain. For the next Risk, when you determine Raises, every die counts as a Raise.</t>
  </si>
  <si>
    <t>Petty</t>
  </si>
  <si>
    <t>You receive a Hero Point when you refuse to aid someone until they beg you or when you otherwise demonstrate your petty, vengeful nature.</t>
  </si>
  <si>
    <t>Humble man</t>
  </si>
  <si>
    <t>The Fisherman</t>
  </si>
  <si>
    <t>Tenacious</t>
  </si>
  <si>
    <t>The Drowned Man</t>
  </si>
  <si>
    <t>Activate your Virtue when you would be killed. Through some twist of fate or circumstance you survive, but are immediately and forcibly removed from the scene.</t>
  </si>
  <si>
    <t>Doomed</t>
  </si>
  <si>
    <t>Activate your Hubris when you take one or more Dramatic Wounds. You gain a Hero Point for each Dramatic Wound you just endured.</t>
  </si>
  <si>
    <t>Timid</t>
  </si>
  <si>
    <t>Activate your Virtue after you roll dice for a Risk. You lose half of your Raises. All other Heroes in the scene with you gain as many Raises as you lost.</t>
  </si>
  <si>
    <t>You receive a Hero Point when you avoid the spotlight, insist that you're nothing more than a simple man, or refuse to take credit for something that would be advantageous for you to claim as your own work.</t>
  </si>
  <si>
    <t>Aid</t>
  </si>
  <si>
    <t>Intrigue</t>
  </si>
  <si>
    <t>Rahuri Spirit Quest</t>
  </si>
  <si>
    <t>La Cosca</t>
  </si>
  <si>
    <t>The Riroco</t>
  </si>
  <si>
    <t>Kap Sevi</t>
  </si>
  <si>
    <t>Mystirios</t>
  </si>
  <si>
    <t>Mohwoo</t>
  </si>
  <si>
    <t>Bugu Takobi</t>
  </si>
  <si>
    <t>Jogo de Dentro</t>
  </si>
  <si>
    <t>Lakedaimon Agoge</t>
  </si>
  <si>
    <t>It is said that no one can die until Baron Ghede digs their grave. While ridden by Ghede, the Sèvitè decides which graves are dug and which are not. While ridden by Baron Ghede, the Sèvitè may spend a Hero Point to protect any character from being Killed. As long as Baron Ghede rides the Sèvitè, the selected character cannot die, even when he is rendered Helpless.</t>
  </si>
  <si>
    <t>Sometimes a person does not die when it is his time. Instead, he lingers among the living bringing misery and sorrow to his closest friends and family. When this happens, the family often prays to Baron Ghede to take their loved one before his proper time. While ridden by Baron Ghede, the Sèvitè may spend a Hero Point to kill a willing Helpless character. This does not cause Corruption.</t>
  </si>
  <si>
    <t>As the patron of the dead, Ghede is also responsible for their earthly remains. While ridden by Baron Ghede, the Sèvitè may spend a Hero Point to protect a corpse from the effects of Sorcery, including Kap Sèvi. For example, bodies touched by the Eternal Guardian cannot be raised as specters by Hexenwerk and the Lwa cannot communicate with them.</t>
  </si>
  <si>
    <t>Beyond securing gravesites, Ghede’s purview also includes keeping the holy sites of the Lwa safe from outside forces. While ridden by Baron Ghede, the Sèvitè may spend a Hero Point to consecrate a small area. Sorcery cannot be used while standing on the Sacred Ground; any Hero Points spent to use a sorcerous power are returned to the sorcerer.</t>
  </si>
  <si>
    <t>When the dead arrive off schedule, sometimes Baron Ghede finds out what killed them and ensures things are set right. While ridden by Baron Ghede, the Sèvitè may touch a corpse and spend a Hero Point to see—through the corpse’s eyes—the last few moments of her life.</t>
  </si>
  <si>
    <t>Many believe the walls of a cemetery are built to keep out the living, but the truth is that they also keep in the dead. While ridden by Baron Ghede, the Sèvitè may spend a Hero Point to secure a wall. As long as the Sèvitè ridden by Baron Ghede stays within the confines of the wall, nothing inhuman may cross the wall, neither entering or leaving.</t>
  </si>
  <si>
    <t>Those closest to Mareaux often find Mareaux’s voice inside their heads. While ridden by Mareaux, the Sèvitè may spend a Hero Point to include someone in her thoughtform. Everyone with access to the thoughtform may communicate freely (though nonverbally), as long as Mareaux rides the Sèvitè. After Mareaux departs, the network ceases to function.</t>
  </si>
  <si>
    <t>This is the power fueling the majority of the Twins myth. While ridden by Mareaux, the Sèvitè may spend a Hero Point to turn his own shadow sentient. The shadow becomes semi-corporeal and obeys the command of the Sèvitè. The shadow is capable of scouting, eavesdropping, and other such activities, but can’t pick up objects or interact with other people. If it takes a dangerous action, it is Strength 5 (rolling 5 dice) and spends Raises accordingly. If it takes a single Wound, it instantly returns to the Sèvitè and refuses to be reanimated until the next sundown.</t>
  </si>
  <si>
    <t>Mareaux will have you believe there is nothing to fear in the darkness. While ridden by Mareaux, the Sèvitè may spend a Hero Point to ignore any and all fear, including supernaturally inflicted Fear caused by Monsters, Sorcery or other magical effects. Note that this does not convey the same resistance to your companions; often Sèvitè ridden by Mareaux must stand alone against the darkness.</t>
  </si>
  <si>
    <t>Mareaux has studied all the nooks and crannies of the world, sussing out all the world’s secrets drenched in shadows. While ridden by Mareaux, the Sèvitè may spend a Hero Point to peer into the shadows and see someplace she cannot currently reach. The Sèvitè can use this power to read a ledger hidden in a desk drawer or watch an illicit act being performed under the cover of night. The Sèvitè must know where to look and the area must be completely shadowed. The Sèvitè can’t see anything in the light while using Unknowable.</t>
  </si>
  <si>
    <t>Things happen in the light that Mareaux will never forget. While ridden by Mareaux, the Sèvitè may spend a Hero Point to commit anything to memory and never, ever, forget it. This gives the Sèvitè perfect recall of his memory, even when a sorcery or traumatic event would remove the memory.</t>
  </si>
  <si>
    <t>Things happen in the night that Mareaux refuses to let you forget. While ridden by Mareaux, the Sèvitè may spend a Hero Point to commit anything to someone else’s memory. She will never, ever, be able to forget it. The scene is burned into her brain until the day she dies (and perhaps even longer), resistant to all attempts to remove it.</t>
  </si>
  <si>
    <t>To Ọya, the human body is another tool to be used; when your tool breaks, you do not throw it out. Instead, you reforge it in the fires and seal the break. While ridden by Ọya, the Sèvitè may spend a Hero Point to instantly heal all the wounds between her third and fourth Dramatic Wound, including the third and fourth Dramatic Wounds.</t>
  </si>
  <si>
    <t>For many, there comes a time when their presence has been overstayed. For those people, Ọya will gladly craft the coffin spike and drive the nail into their bodies. When ridden by Ọya, the Sèvitè may spend a Hero Point while causing another character’s third Dramatic Wound to immediately render that character Helpless. A Sèvitè can only activate this Gros once per session.</t>
  </si>
  <si>
    <t>The flames of the forge take constant tending: a well-fed fire produces the strongest steel. While ridden by Ọya, the Sèvitè may spend a Hero Point to consume anything and gain nourishment from it. Dirt. Metal. Wood. Anything that can fit into the Sèvitè will nourish him.</t>
  </si>
  <si>
    <t>Ọya knows the weaknesses in every chain; she cannot be held. While ridden by Ọya, the Sèvitè may spend a Hero Point to escape from any shackle, prison or restraint.</t>
  </si>
  <si>
    <t>The heat of the forge has covered Ọya’s body in callouses, helping her tolerate the heat of the fires and remain steadfast while at her station. While ridden by Ọya, the Sèvitè may spend a Hero Point to withstand any fire or flame. The Sèvitè does not take any damage from any source of heat.</t>
  </si>
  <si>
    <t>The heat of battle has covered Ọya’s body in scars, helping her to remain straight-backed and uncowed while enduring the pain of injury. While ridden by Ọya, the Sèvitè may spend a Hero Point to temporarily overcome being Helpless. Instead of only being able to take a single action, the Sèvitè can act as normal for a full round while Helpless. In addition, during this normal round, the Sèvitè gains two extra dice for any Risks she attempts. However, the effort of Blackening a Soul is exhausting to Ọya and she can only muster these effects once per Episode.</t>
  </si>
  <si>
    <t>While Papa Ahron never speaks for himself, he speaks for those who cannot. While ridden by Papa Ahron, the Sèvitè may spend a Hero Point to speak as proxy for anyone, living or dead. The Sèvitè must be able to touch either the target’s body or something of extreme personal value belonging to the target. There must be another participant to join the conversation, as the Sèvitè cannot talk to herself. This does not give the Sèvitè any insights into what her target desires, it only allows the Sèvitè to act as a vessel for the target to speak through.</t>
  </si>
  <si>
    <t>Memory is a tricky thing and people tend to forget more than they remember. For Papa Ahron, this can be a great advantage. While ridden by Papa Ahron, the Sèvitè may spend a Hero Point to vanish from memory for a Scene. Anyone interacting with the Sèvitè can see him, speak with him, and hear him, but as soon as the Sèvitè leaves, she forgets everything about the Sèvitè ever being there.</t>
  </si>
  <si>
    <t>The stories say that Papa Ahron, being the oldest and wisest of the Lwa, knows where all his children are at all times. That when he closes his eyes he sees through theirs. While ridden by Papa Ahron, the Sèvitè may spend a Hero Point to form a connection with any other person ridden by Papa Ahron. The Sèvitè knows the general location of the other possessed, her current mood, and can see through her eyes.</t>
  </si>
  <si>
    <t>Among his many powers, Papa Ahron also acts as gatekeeper to the Lwa. He alone decides when a mortal is allowed to speak with the Lwa and will quickly grab away his voice if he speaks the wrong words. While ridden by Papa Ahron, the Sèvitè may spend a Hero Point to ask the Lwa a single question and gain unnatural insight into the world. The Lwa are obligated to answer honestly, as lying to Papa Ahron is a serious offense. The Gamemaster must provide a direct answer to the question asked, but is not required to elaborate.</t>
  </si>
  <si>
    <t>Silence is golden and Papa Ahron knows not to waste it. While ridden by Papa Ahron, the Sèvitè may spend a Hero Point to move without making noise for a Scene. The Sèvitè can still be seen, smelled, or felt, but no audible presence can be detected. The Sèvitè must still be subtle while using San Yopa Sound; the Lwa cannot hide actions egregiously obvious such as firing a gun next to someone’s head or screaming in her face.</t>
  </si>
  <si>
    <t>There are times when a father wants to see but not be seen, and Papa Ahron has mastered that craft. While ridden by Papa Ahron, the Sèvitè may spend a Hero Point to move without being seen for a Scene. The Sèvitè can still be heard, smelled, or felt, but no visual presence can be detected. The Sèvitè must still be subtle while using San Yopa Sight, the Lwa cannot hide actions that would be egregiously obvious such as stabbing someone in the chest or throwing handfuls of flour into the air.</t>
  </si>
  <si>
    <t>There are many myths and stories about Kap Sèvi’s ability to animate the dead. Unfortunately, if there is a Lwa with that power, she has not made herself known to the Sèvitè. The closest thing comes in the power of Sousson to create Zonbi. While ridden by Sousson, the Sèvitè may spend a Hero Point to mask any signs of life in a Helpless person. His heart rate slows, his eyes become cloudy, and his muscles stiffen. He also becomes susceptible to suggestion and can be directed to taking simple actions on the instruction of the Sèvitè.</t>
  </si>
  <si>
    <t>They say everywhere Sousson goes, he is in the company of friends, yet he leaves nothing but enemies in his wake. While ridden by Sousson, the Sèvitè may spend a Hero Point to instantly befriend anyone. This includes Villains. However, once Sousson has left the Sèvitè, this effect fades and the target may resent the Sèvitè, depending on how she was treated.</t>
  </si>
  <si>
    <t>Purity is the biggest reason Sèvitè worship Sousson. His gift for clearing a body of illness, both physical and mental, is coveted by many who seek the Sèvitè for help. While ridden by Sousson, the Sèvitè may spend a Hero Point to wash away any non-supernaturally induced ailments, diseases or illnesses a person may be experiencing. This does not heal Wounds and cannot be used to cure diseases or illness resulting from Monsters or Sorcery.</t>
  </si>
  <si>
    <t>They say no one looks a leper in the eye. While ridden by Sousson, the Sèvitè may spend a Hero Point to make other people avoid him as if he had the plague. The Sèvitè’s appearance grows more horrific and he produces an aura that causes people to avoid eye-contact and steer clear of the Sèvitè’s path. If a Hero wishes to even approach someone wearing the Mask of the Pariah, he must either spend a Hero Point or, if part of a Sequence, spend a Raise; any physical interaction requires an additional Raise on top of whatever the action itself would cost.</t>
  </si>
  <si>
    <t>Sousson believes prevention is often the best medicine. While ridden by Sousson, the Sèvitè may spend a Hero Point to remove any contaminant from any object, material, or substance. This can be used on bedsheets infected with the plague or water carrying harmful bacteria.</t>
  </si>
  <si>
    <t>A life of curing disease often leaves many people grateful, and Sousson is always able to find someone he once helped. While ridden by Sousson, the Sèvitè may spend a Hero Point to know someone nearby that he’s treated previously and who now owes him a favor.</t>
  </si>
  <si>
    <t>Mystírio</t>
  </si>
  <si>
    <t>Dithyrambos, God of Plenty</t>
  </si>
  <si>
    <t>Each time you take an Action, you heal a single Wound. If this mystírio would cause you to heal a Dramatic Wound, your apokálypsi activates immediately and this effect ends.</t>
  </si>
  <si>
    <t>On your Action, you can activate this apokálypsi to immediately heal one Dramatic Wound.</t>
  </si>
  <si>
    <t xml:space="preserve"> </t>
  </si>
  <si>
    <t>Potnia Agrotera, Goddess of the Hunt and War</t>
  </si>
  <si>
    <t>When you spend Raises during a Risk to prevent Wounds to another Hero, you cause 1 Wound to whatever character tried to harm him.</t>
  </si>
  <si>
    <t>Supati, God/Goddess of Writing, Language and Magic</t>
  </si>
  <si>
    <t>Salacio, God of the Underworld and the Sea</t>
  </si>
  <si>
    <t>You are immune to Pressure.</t>
  </si>
  <si>
    <t>Theonoa Dianoia, Goddess of Craft and Wisdom</t>
  </si>
  <si>
    <t>Caledon, God of Medicine, the Home, and Family</t>
  </si>
  <si>
    <t>Any Hero in a scene with you who is under Pressure (including yourself ) may have the additional Raise required to take an Action paid by any other Hero in the scene.</t>
  </si>
  <si>
    <t>Hecteba, Jailed Goddess Of Mysteries, Murder, And Dark Magic</t>
  </si>
  <si>
    <t>Fish</t>
  </si>
  <si>
    <t>Takobi Gudana</t>
  </si>
  <si>
    <t>When you wield a small hand-held weapon in one hand (such as a machete or hatchet) and nothing in the other, you gain a special Maneuver called Takobi Gudana, or “Sword Flow.” Takobi Gudana prevents a number of Wounds equal to your Ranks in Weaponry, and the next Maneuver you perform this Round that deals Wounds deals an additional Wound. You can perform Takobi Gudana once per Round.</t>
  </si>
  <si>
    <t>Riso da Malandragem</t>
  </si>
  <si>
    <t>Agoge Thrust</t>
  </si>
  <si>
    <t>Sword</t>
  </si>
  <si>
    <t>Spear</t>
  </si>
  <si>
    <t>Bow</t>
  </si>
  <si>
    <t>When you wield small, improvised blades (barber’s razors hidden up your sleeves, shards of glass embedded in the soles of your shoes, etc.), you gain a special Maneuver called Riso da Malandragem, or “Scoundrel’s Laugh.” Riso da Malandragem deals one Wound each to two targets (two Villains, or two Brute Squads, or one Villain and one Brute Squad, etc.); the next time those targets deal Wounds this Round, they deal one less Wound for each Rank you have in Weaponry. You can perform Riso da Malandragem once per Round. Additionally, when you make an Athletics, Brawl, Hide, or Perform Risk you gain one Bonus Die so long as you describe how your mastery of Jogo de Dentro aids you in the Risk.</t>
  </si>
  <si>
    <t>Note that some descriptions are paraphrased to fit on the page better.</t>
  </si>
  <si>
    <t>For the sword, you take your first Action in a Round as if you had one additional Raise.</t>
  </si>
  <si>
    <t>For the spear, you may re-roll one die for an Athletics Risk you take if you describe how you use your spear to aid you.</t>
  </si>
  <si>
    <t>For the bow, you use Aim to determine the effects of your Maneuvers rather than Weaponry.</t>
  </si>
  <si>
    <t xml:space="preserve">When you learn the this style, choose a weapon from the spear, sword, or bow. When you wield your chosen weapon, your Lunge Maneuver is replaced by the Agoge Thrust.  Agoge Thrust deals a number of Wounds equal to your Weaponry plus the number of Raises you spend, but you must spend your next Action this Round to recover and regroup, spending one Raise to do so.  </t>
  </si>
  <si>
    <t>The fish mohwoo represents a search or discovery, usually one that is personal or that the seeker is not even aware of. This could be the revelation of a truth from the person’s past or a journey of self-discovery and understanding.</t>
  </si>
  <si>
    <t>The Hero does not need to breathe for the rest of the scene. She cannot be choked or strangled, she cannot suffocate or drown, and airborne poisons do not affect her.</t>
  </si>
  <si>
    <t>Crab</t>
  </si>
  <si>
    <t>Squid</t>
  </si>
  <si>
    <t>Anchor</t>
  </si>
  <si>
    <t>Turtle</t>
  </si>
  <si>
    <t>Shark</t>
  </si>
  <si>
    <t>The crab is a protector and guardian. This mohwoo is a sign that the Hero places great importance on the guardianship of some thing or person, often to the exclusion of all other things. This could be something physical (such as a Hero’s young daughter or new husband) or something more ephemeral (such as a Hero’s sense of personal honor).</t>
  </si>
  <si>
    <t>The squid has an unbreakable grip, and will die before it lets go. This often applies to a Hero with the squid mohwoo, but less literally. Such a Hero often finds herself becoming attached quickly and having difficulty letting go of others, or admitting that she is wrong. She is often described as stubborn by enemies, and steadfast by friends.</t>
  </si>
  <si>
    <t>The anchor is representative of a qing who takes on burdens so that others don’t have to. He is reliable and self-sacrificing. He literally throws himself into the deep so that others will not be lost, regardless of who those others are. This is contrasted with the crab, whose motivation in being a guardian is often personal.</t>
  </si>
  <si>
    <t>Activate this mohwoo to allow another Hero in this scene to gain a Hero Point. A qing may only activate this mohwoo once per Scene.</t>
  </si>
  <si>
    <t>The turtle is cautious and wise, moving only when his course is certain. This mohwoo is indicative of a thoughtful and careful individual who knows that doing something right is more important than doing something quickly.</t>
  </si>
  <si>
    <t>Spend your first Raise in a Round to activate this mohwoo. For the rest of the Round, you take 1 less Wound from all sources.</t>
  </si>
  <si>
    <t>The shark is a restless hunter. An aggressive and decisive Hero is often given the shark mohwoo when she prizes immediate action over a more passive “wait and see” approach to problem solving. The shark can also represent a Hero who is chasing something, as opposed to the fish who wishes to discover something.</t>
  </si>
  <si>
    <t>Gros Gran Met</t>
  </si>
  <si>
    <t>Ti Gran Met</t>
  </si>
  <si>
    <t>Give up Virtue until next sunrise to activate Gros</t>
  </si>
  <si>
    <t>Give up a Quirk until sunrise to activate a Ti</t>
  </si>
  <si>
    <t>Papa Ahron: The Lost Voice</t>
  </si>
  <si>
    <t>Baron Ghede: No Grev</t>
  </si>
  <si>
    <t>Baron Ghede: Eternal Guardian</t>
  </si>
  <si>
    <t>Baron Ghede: Lameci</t>
  </si>
  <si>
    <t>Baron Ghede: Sacred Ground</t>
  </si>
  <si>
    <t>Baron Ghede: Windows into the Soul</t>
  </si>
  <si>
    <t>Baron Ghede: Cemetery Walls</t>
  </si>
  <si>
    <t>Mareaux: Egregore</t>
  </si>
  <si>
    <t>Mareaux: Unafraid</t>
  </si>
  <si>
    <t>Mareaux: Nuit Jumeaux</t>
  </si>
  <si>
    <t>Mareaux: Unknowable</t>
  </si>
  <si>
    <t>Mareaux: Unforgettable</t>
  </si>
  <si>
    <t>Mareaux: Unforgivable</t>
  </si>
  <si>
    <t>Oya: Hammer</t>
  </si>
  <si>
    <t>Oya: The Hunger</t>
  </si>
  <si>
    <t>Oya: Nail</t>
  </si>
  <si>
    <t>Oya: Unchained</t>
  </si>
  <si>
    <t>Oya: Blackened Skin</t>
  </si>
  <si>
    <t>Oya: Blackened Soul</t>
  </si>
  <si>
    <t>Papa Ahron: Lucidité</t>
  </si>
  <si>
    <t>Papa Ahron: Li Bliye</t>
  </si>
  <si>
    <t>Papa Ahron: Crossroads</t>
  </si>
  <si>
    <t>Papa Ahron: San Yopa Sound</t>
  </si>
  <si>
    <t>Papa Ahron: San Yopa Sight</t>
  </si>
  <si>
    <t>Sousson: Zonbi</t>
  </si>
  <si>
    <t>Sousson: Purify</t>
  </si>
  <si>
    <t>Sousson: Unlikely Allies</t>
  </si>
  <si>
    <t>Sousson: Mask of the Pariah</t>
  </si>
  <si>
    <t>Sousson: Clense</t>
  </si>
  <si>
    <t>Sousson: Bon Zanmi</t>
  </si>
  <si>
    <t>Select 2 Ti Gran Met (Must match Gros Lwa)</t>
  </si>
  <si>
    <t>Select 4 Ti Gran Met (Must match Gros Lwa)</t>
  </si>
  <si>
    <t>Select 6 Ti Gran Met (Must match Gros Lwa)</t>
  </si>
  <si>
    <t>Select 8 Ti Gran Met (Must match Gros Lwa)</t>
  </si>
  <si>
    <t>Select 10 Ti Gran Met (Must match Gros Lwa)</t>
  </si>
  <si>
    <t>Select 12 Ti Gran Met (Must match Gros Lwa)</t>
  </si>
  <si>
    <t>Select 14 Ti Gran Met (Must match Gros Lwa)</t>
  </si>
  <si>
    <t>Select 1 Lwa &amp; Gros Gran Met</t>
  </si>
  <si>
    <t>Select 2 Lwa &amp; Gros Gran Met</t>
  </si>
  <si>
    <t>Select 3 Lwa &amp; Gros Gran Met</t>
  </si>
  <si>
    <t>Select 4 Lwa &amp; Gros Gran Met</t>
  </si>
  <si>
    <t>Select 5 Lwa &amp; Gros Gran Met</t>
  </si>
  <si>
    <t>Select 6 Lwa &amp; Gros Gran Met</t>
  </si>
  <si>
    <t>Select 7 Lwa &amp; Gros Gran Met</t>
  </si>
  <si>
    <t>Ships Charter?</t>
  </si>
  <si>
    <t>End a Mystírio early (for free) with Apokálypsi</t>
  </si>
  <si>
    <t>Activate Mystírio with 1 hero point.  Lasts till end of scene.</t>
  </si>
  <si>
    <t>Select 1 Mystírio</t>
  </si>
  <si>
    <t>Match Apokálypsi with Mystírio</t>
  </si>
  <si>
    <t>Select 2 Mystírio</t>
  </si>
  <si>
    <t>Select 3 Mystírio</t>
  </si>
  <si>
    <t>Select 4 Mystírio</t>
  </si>
  <si>
    <t>Select 5 Mystírio</t>
  </si>
  <si>
    <t>Select 6 Mystírio</t>
  </si>
  <si>
    <t>Select 7 Mystírio</t>
  </si>
  <si>
    <t>Hero or Villain?</t>
  </si>
  <si>
    <t>Hero</t>
  </si>
  <si>
    <t>Villain</t>
  </si>
  <si>
    <t>Apokálypsi</t>
  </si>
  <si>
    <t>Potnia Agrotera</t>
  </si>
  <si>
    <t>Caledon</t>
  </si>
  <si>
    <t>Dithyrambos</t>
  </si>
  <si>
    <t>Supati</t>
  </si>
  <si>
    <t>Theonoa Dianoia</t>
  </si>
  <si>
    <t>Forgo national sorcery for Mohwoo?</t>
  </si>
  <si>
    <t>Select 2 minor Mohwoo</t>
  </si>
  <si>
    <t>Select 1 major Mohwoo</t>
  </si>
  <si>
    <t>Select up to 2 major Mohwoo (must have minor first)</t>
  </si>
  <si>
    <t>Select up to 3 major Mohwoo (must have minor first)</t>
  </si>
  <si>
    <t>Select up to 4 major Mohwoo (must have minor first)</t>
  </si>
  <si>
    <t>Select up to 5 major Mohwoo (must have minor first)</t>
  </si>
  <si>
    <t>Select up to 6 major Mohwoo (must have minor first)</t>
  </si>
  <si>
    <t>Select all 6 minor Mohwoo</t>
  </si>
  <si>
    <t>Select 4 minor (3 if you took 2 major)</t>
  </si>
  <si>
    <t>Select 6 minor (5 if you have 2 major, 4 if you have 3)</t>
  </si>
  <si>
    <t>Select 6 minor (5 if you have 4 major)</t>
  </si>
  <si>
    <t>Invoke Tattoo &amp; spend Hero Point</t>
  </si>
  <si>
    <t>Major Mohwoo</t>
  </si>
  <si>
    <t>Minor Mohwoo</t>
  </si>
  <si>
    <t>Added Heroes &amp; Villains and Pirate Nations Sourcesbooks</t>
  </si>
  <si>
    <t>Flawless Execution</t>
  </si>
  <si>
    <t>Must have the ability to perform Duelist Maneuvers. Choose one Maneuver you know. You can spend a Hero Point instead of a Raise to perform this Maneuver. All other rules pertaining to Maneuvers still apply (you can still only perform some Maneuvers once per Round, you cannot perform the same Maneuver twice in a row, etc). A Hero can only use this Advantage once per Round.</t>
  </si>
  <si>
    <t>A Hero must have the Duelist Academy Advantage in order to purchase this Advantage. Choose another Duelist Academy Style to learn.</t>
  </si>
  <si>
    <t>Learned Duelist</t>
  </si>
  <si>
    <t>Student of Combat</t>
  </si>
  <si>
    <t>Savior</t>
  </si>
  <si>
    <t>It is not enough to simply stop a Villain—you must change her. The greatest weapon against wickedness is to take an agent of evil and make her a force for good. When you take a Risk in the direct pursuit of redeeming a Villain and turning her toward a path of Heroism, you can spend a Hero Point in place of spending a Raise for any Action. If an Action would require multiple Raises (because of Improvisation, being Unskilled, being under Pressure, etc.) you only need to spend one Hero Point to accomplish it. Because you are not spending Raises for these Actions, it remains your turn—this means that, in effect, so long as you have Hero Points you can continue to take Actions back-to-back if every Action that you take is directly related to the redemption of a Villain.</t>
  </si>
  <si>
    <t>You learn the Slash and Parry Maneuvers, as well as one non-Style Maneuver of your choice, and can perform these as a Duelist does. The Duelist Academy Advantage is considered a 3 point Advantage for you.</t>
  </si>
  <si>
    <t>Resurrect</t>
  </si>
  <si>
    <t>Dignity</t>
  </si>
  <si>
    <t>Spend a Hero Point and lend aid to a character who has died in the last minute (such as giving him a drink of water, staunching his wounds, or literally breathing the life back into him). The character returns to life, but he remains Helpless.</t>
  </si>
  <si>
    <t>Spend a Hero Point and lend aid to a character who has died in the last minute. The character returns to life, but he remains Helpless.</t>
  </si>
  <si>
    <t>Limit: You must always act with calm and logic, and never allow emotions to cause you to act rashly.</t>
  </si>
  <si>
    <t>Limit: You must always act with calm and logic, and never allow emotions to cause you to act rashly.                                                       Penance: You must undo the decision that you made, and the consequences of your rash actions.</t>
  </si>
  <si>
    <t>Taiya</t>
  </si>
  <si>
    <t>Patwa Haragwen</t>
  </si>
  <si>
    <t>Numan</t>
  </si>
  <si>
    <t>While ridden by Baron Ghede, the Sèvitè may spend a Hero Point to kill a willing Helpless character. This does not cause Corruption.</t>
  </si>
  <si>
    <t>While ridden by Ọya, the Sèvitè may spend a Hero Point to instantly heal all the wounds between her third and fourth Dramatic Wound, including the third and fourth Dramatic Wounds.</t>
  </si>
  <si>
    <t>While ridden by Baron Ghede, the Sèvitè may touch a corpse and spend a Hero Point to see—through the corpse’s eyes—the last few moments of her life.</t>
  </si>
  <si>
    <t>While ridden by Ọya, the Sèvitè may spend a Hero Point to withstand any fire or flame. The Sèvitè does not take any damage from any source of heat.</t>
  </si>
  <si>
    <t>While ridden by Ọya, the Sèvitè may spend a Hero Point to consume anything and gain nourishment from it. Dirt. Metal. Wood. Anything that can fit into the Sèvitè will nourish him.</t>
  </si>
  <si>
    <t>While ridden by Ọya, the Sèvitè may spend a Hero Point to escape from any shackle, prison or restraint.</t>
  </si>
  <si>
    <t>While ridden by Sousson, the Sèvitè may spend a Hero Point to know someone nearby that he’s treated previously and who now owes him a favor.</t>
  </si>
  <si>
    <t>While ridden by Baron Ghede, the Sèvitè may spend a Hero Point to protect a corpse from the effects of Sorcery, including Kap Sèvi.</t>
  </si>
  <si>
    <t>While ridden by Baron Ghede, the Sèvitè may spend a Hero Point to protect any character from being Killed. As long as Baron Ghede rides the Sèvitè, the selected character cannot die.</t>
  </si>
  <si>
    <t>While ridden by Mareaux, the Sèvitè may spend a Hero Point to include someone in her thoughtform. Everyone with access to the thoughtform may nonverbally communicate freely.</t>
  </si>
  <si>
    <t>While ridden by Mareaux, the Sèvitè may spend a Hero Point to turn his own shadow sentient. It becomes semi-corporeal and obeys the command of the Sèvitè but can’t pick up objects.</t>
  </si>
  <si>
    <t>When ridden by Ọya, once per session the Sèvitè may spend a Hero Point while causing another character’s third Dramatic Wound to immediately render that character Helpless.</t>
  </si>
  <si>
    <t>While ridden by Papa Ahron, the Sèvitè may spend a Hero Point to vanish from memory for a Scene. Anyone can interact with him, but afterwards forgets the Sèvitè ever being there.</t>
  </si>
  <si>
    <t>While ridden by Papa Ahron, the Sèvitè may spend a HP to speak for anyone, living or dead. They must be able to touch the target’s body or something of personal value belonging to the target.</t>
  </si>
  <si>
    <t>While ridden by Sousson, the Sèvitè may spend a HP to instantly befriend anyone. This includes Villains. However, once Sousson has left the Sèvitè, this effect fades and the target acts normal.</t>
  </si>
  <si>
    <t>While ridden by Sousson, the Sèvitè may spend a Hero Point to mask any signs of life in a Helpless person. He also becomes susceptible to suggestion and can be directed to taking simple actions.</t>
  </si>
  <si>
    <t>While ridden by Baron Ghede, the Sèvitè may spend a HP to secure a wall. As long as you stay within the confines of the wall, nothing inhuman may cross the wall, neither entering or leaving.</t>
  </si>
  <si>
    <t>While ridden by Baron Ghede, the Sèvitè may spend a Hero Point to consecrate a small area. Sorcery cannot be used while standing on the Sacred Ground.</t>
  </si>
  <si>
    <t>While ridden by Mareaux, the Sèvitè may spend a Hero Point to ignore any and all fear, including supernaturally inflicted Fear caused by Monsters, Sorcery or other magical effects.</t>
  </si>
  <si>
    <t>While ridden by Mareaux, the Sèvitè may spend a HP to commit anything to memory and never, forget it. This gives you perfect recall of the memory, even when something would remove it.</t>
  </si>
  <si>
    <t>While ridden by Mareaux, you may spend a HP to commit anything to someone else’s memory. She can't forget it. The scene is burned into her brain until the day she dies, resistant to removal.</t>
  </si>
  <si>
    <t>While ridden by Mareaux, you may spend a HP to peer into the shadows and see someplace else but can't see anything in the light.  You must know where to look and it must be fully shadowed</t>
  </si>
  <si>
    <t>While ridden by Ọya, once per episode the Sèvitè may spend a HP to overcome being Helpless. The Sèvitè can act as normal for a full round while Helpless and gains 2 extra dice for any Risks.</t>
  </si>
  <si>
    <t>While ridden by Papa Ahron, the Sèvitè may spend a HP to ask the Lwa a single question and gain unnatural insight into the world. The Gamemaster must provide a direct answer to the question.</t>
  </si>
  <si>
    <t>While ridden by Papa Ahron, you may spend a HP to connect with any other person ridden by Papa Ahron. You know their general location, current mood, and can see through their eyes.</t>
  </si>
  <si>
    <t>While ridden by Papa Ahron, the Sèvitè may spend a Hero Point to move without being seen for a Scene. Other senses work. The Sèvitè must still be subtle while using San Yopa Sight.</t>
  </si>
  <si>
    <t>While ridden by Papa Ahron, the Sèvitè may spend a Hero Point to move without making noise for a Scene. Other senses work. The Sèvitè must still be subtle while using San Yopa Sound.</t>
  </si>
  <si>
    <t>While ridden by Sousson, the Sèvitè may spend a HP to remove any contaminant from any object. This can be used on bedsheets infected with the plague or water with harmful bacteria.</t>
  </si>
  <si>
    <t>While ridden by Sousson, you may spend a HP to wash away non-supernaturally induced ailments on a person. This can't heal Wounds nor be used to cure things resulting from Monsters or Sorcery.</t>
  </si>
  <si>
    <t>While ridden by Sousson, you may spend a Hero Point to make other people avoid you. You look horrific and produce an aura that causes people to avoid eye-contact and steer clear of your path.</t>
  </si>
  <si>
    <t>When you make an Aim, Brawl, or Weaponry Risk, you can increase the total face value of your dice based on your Strength.</t>
  </si>
  <si>
    <t>Whenever you make a Wits Risk, any dice that roll a 1 may be re-rolled, but you must use the new result. This effect takes place before any other re-rolls you earn.</t>
  </si>
  <si>
    <t>After you activate this mysterio, once per round you may spend Raises during an Action or Dramatic Sequence to modify the timing of an Opportunity or Consequenceby 1 per raise.</t>
  </si>
  <si>
    <t>Once per episode activate this apokálypsi to allow all other Heroes in the scene to heal all Wounds on the current tier of their Death Spiral and one Dramatic Wound. You take one DW.</t>
  </si>
  <si>
    <t>Once per episode when you announce your intention to commit Murder, you may activate this apokálypsi . If you do so, you only need to spend a single Raise in order to succeed in your murder.</t>
  </si>
  <si>
    <t>On your Action during an Action Sequence when you use Aim, Brawl, or Weaponry as your Approach, you may activate this apokálypsi as a free action instead of spending a Raise.</t>
  </si>
  <si>
    <t>You may activate this apokálypsi when you make a Resolve Risk. You may re-roll any dice that roll a value lower than your Resolve but you must use the new result &amp; the dice can't be altered more.</t>
  </si>
  <si>
    <t>On your Action during a Risk, you may activate this apokálypsi. Any Heroes (including yourself ) who are under Pressure may take an immediate Action (they must still spend Raises to do so)</t>
  </si>
  <si>
    <t>Once per Episode during a Dramatic Sequence when you use Empathy, Scholarship, or Warfare, you may activate this apokálypsi . You gain Raises equal to your Ranks in the Skill that you chose.</t>
  </si>
  <si>
    <t>Once per session when you activate this mohwoo, creatures can only avoid your notice if they have a supernatural ability to do so, such as Sorcery or an artifact. If they do, both cancel.</t>
  </si>
  <si>
    <t>Once per Episode activate this mohwoo when you spend a Raise to apply Pressure. In order to act against your Pressure, another character must spend 2 additional Raises instead of 1.</t>
  </si>
  <si>
    <t>Once per episode when you activate this mohwoo, you can prevent another character’s Murder by only spending only a single Raise to protect the character, rather than all of your Raises.</t>
  </si>
  <si>
    <t>Activate this mohwoo and select another individual. Till next sunrise/sunset tou are bound to the person you choose, and the two of you always know the direction and distance to the other.</t>
  </si>
  <si>
    <t>Activate this mohwoo in place of spending a Raise during an Action or Dramatic Sequence when your task involves swimming, or when being in water would be advantageous to the action.</t>
  </si>
  <si>
    <t>Once per scene, after you activate this mohwoo, you may negate the Wounds inflicted on you from any single attack. You must activate this mohwoo on your turn (spending a Raise to do so).</t>
  </si>
  <si>
    <t>Activate this mohwoo when you spend Raises to take Wounds in place of another character.  Reduce them by 1/2 (round down, to a min. of 1) first; they may be cancelled by mundane ways.</t>
  </si>
  <si>
    <t>Once per scene activate this mohwoo when you deal Wounds during a Brawl Risk. These Wounds cannot be negated except by supernatural means (such as Sorcery, artifacts, or something similar).</t>
  </si>
  <si>
    <t>Once per session activate this mohwoo and specify a single target as your prey. GM will tell the direction &amp; distance to them. Until end of scene, physical Risks to pursue them get 1 Bonus Die.</t>
  </si>
  <si>
    <t>Version 1.1.1</t>
  </si>
  <si>
    <t>Released 4-15-2017</t>
  </si>
  <si>
    <t>1.1.1</t>
  </si>
  <si>
    <t>Fixed problem with triple-kingdom backgrounds - thank you Kat Whittenburg</t>
  </si>
  <si>
    <t>Legendary</t>
  </si>
  <si>
    <t>Wily (Fool)</t>
  </si>
  <si>
    <t>Confusion (Moonless Night)</t>
  </si>
  <si>
    <t>Fortunate (Wheel)</t>
  </si>
  <si>
    <t>Relentless (Coins)</t>
  </si>
  <si>
    <t>Astute (Devil)</t>
  </si>
  <si>
    <t>Overzealous (Prophet)</t>
  </si>
  <si>
    <t>Passionate (Lovers)</t>
  </si>
  <si>
    <t>Stubborn (Thrones)</t>
  </si>
  <si>
    <t>Glorious (Sun)</t>
  </si>
  <si>
    <t>Underconfident (Road)</t>
  </si>
  <si>
    <t>Friendly (Road)</t>
  </si>
  <si>
    <t>Manipulative (Witch)</t>
  </si>
  <si>
    <t>Altruistic (Hanged Man)</t>
  </si>
  <si>
    <t>Envious (Beggar)</t>
  </si>
  <si>
    <t>Intuitive (Witch)</t>
  </si>
  <si>
    <t>Unfortunate (Wheel)</t>
  </si>
  <si>
    <t>Comforting (Thrones)</t>
  </si>
  <si>
    <t>Loyal (War)</t>
  </si>
  <si>
    <t>Courageous (Hero)</t>
  </si>
  <si>
    <t>Superstitious (Glyph)</t>
  </si>
  <si>
    <t>Exemplary (Reuinion)</t>
  </si>
  <si>
    <t>Star-Crossed (Lovers)</t>
  </si>
  <si>
    <t>Commanding (Emperor)</t>
  </si>
  <si>
    <t>Curious (Fool)</t>
  </si>
  <si>
    <t>Temperate (Glyph)</t>
  </si>
  <si>
    <t>Arrogant (Tower)</t>
  </si>
  <si>
    <t>Humble (Tower)</t>
  </si>
  <si>
    <t>Indecisive (Hanged Man)</t>
  </si>
  <si>
    <t>Victorious (War)</t>
  </si>
  <si>
    <t>Bitterness (Reunion)</t>
  </si>
  <si>
    <t>Subtle (Moonless Night)</t>
  </si>
  <si>
    <t>Ambitious (Magician)</t>
  </si>
  <si>
    <t>Insightful (Beggar)</t>
  </si>
  <si>
    <t>Hot-Headed (Emperor)</t>
  </si>
  <si>
    <t>Illuminating (Prophet)</t>
  </si>
  <si>
    <t>Trusting (Devil)</t>
  </si>
  <si>
    <t>Willful (Magician)</t>
  </si>
  <si>
    <t>Proud (Sun)</t>
  </si>
  <si>
    <t>Adaptable (Coins)</t>
  </si>
  <si>
    <t>Foolhardy (Hero)</t>
  </si>
  <si>
    <t>Earn a Hero Point when you eschew an invitation to participate in civilized society and spend the night under the stars instead.</t>
  </si>
  <si>
    <t>Transformation: Activate this Glamour to take the form of a common woodland mammal (bear, stag, fox, boar, wolf, rabbit or squirrel) for a Scene. You retain all your skills, knowledge and abilities—although they may be limited by the physical capabilities of your new form. If the animal’s form is particularly advantageous (such as running great distances in the form of a deer), you gain 2 Bonus Dice. While in this form you may also speak with creatures native to the forests. Unreasonable or difficult requests may require a Risk to convince them, with Consequences that include hostility or requiring the kind of favors only a human can accomplish. If necessary, the animals asked to perform a task can be treated as a Brute Squad.</t>
  </si>
  <si>
    <t>Earn a Hero Point when you successfully break into a fortified or secure location or when you defend such a location from enemies.</t>
  </si>
  <si>
    <t>I Will Not Be Moved: You stand in the breach and none may pass. Activate this Glamour when you make yourself conspicuous during a fight to apply Pressure to all opponents who can see you. They must spend an extra Raise to perform any action other than withdrawing from the fray.</t>
  </si>
  <si>
    <t>Earn a Hero Point when you end a discussion, debate or negotiation by drawing steel.</t>
  </si>
  <si>
    <t>Channel the Blade: The fighting skills of every Knight who has ever embodied Cenhelm, The Keen can be called upon to aid you. Activate this Glamour to obtain the Style Bonus from any Duelist Style for the duration of the Action Sequence. You may use that Style Bonus irrespective of what weapon you are armed with.</t>
  </si>
  <si>
    <t>Earn a Hero Point whenever you go first into the fray so others do not have to, or stand alone as rear guard while others withdraw.</t>
  </si>
  <si>
    <t>You Won’t Die Here: Activate this Glamour to allow one nearby allied Hero to ignore all negative effects from her Dramatic Wounds for the rest of the Action Sequence— the Villain does not gain Bonus Dice from her having 2 Dramatic Wounds, and she does not become Helpless at 4 Dramatic Wounds. Also, from that point on, you may spend your Raises one-for-one on Avoiding Wounds on her behalf.</t>
  </si>
  <si>
    <t>Earn a Hero Point when you allow yourself to play the fool or be the butt of a joke to defuse a situation or raise another’s spirits.</t>
  </si>
  <si>
    <t>Perpetual Feast: While this Glamour is active, you may consume a nearly endless quantity of food and beverages with no discomfort. Specifically, you have the capacity to eat and drink, in a single setting, equal to the number of people (of your stature) as your Ranks in Brawn + your Ranks in Resolve. Later, you may activate this Glamour to go a number of days without food or drink, effectively surviving off of prior feasts. That number equals your Ranks in Brawn + your Ranks in Resolve.</t>
  </si>
  <si>
    <t>Earn a Hero Point when you befriend someone others avoid, reject or have cast out.</t>
  </si>
  <si>
    <t>Earn a Hero Point when you give away wealth or valuables beyond what you need to survive.</t>
  </si>
  <si>
    <t>Blessing of the Penitent: Activate this Glamour when you have time to lay your hands on a companion and offer her your blessing. Spend 1 Hero Point per blessed companion. The next time a blessed companion rolls dice this session, any die that rolls equal to or less than your Panache becomes a 10. You cannot bless yourself.</t>
  </si>
  <si>
    <t>Earn a Hero Point whenever you advise a companion against a course of action he desires or in favor of action he is reluctant to pursue, and he listens to you.</t>
  </si>
  <si>
    <t>Earn a Hero Point whenever you convince others to take a more difficult peaceful path even though violence would provide an easier solution.</t>
  </si>
  <si>
    <t>Shocking Disarm: Activating this Glamour causes all metal objects within musket range of you to release a powerful electric shock. A wielder of such an object (an ally or opponent, Hero or Villain) including yourself must immediately drop it or take your Wits in Wounds and roll 1d10. If the roll is greater than her Resolve, she drops the object anyway. Dropped metal retains a lingering charge for up to an hour and requires a number of Raises equal to your Wits to recover it safely—taking 1 Wound for every such Raise not spent.</t>
  </si>
  <si>
    <t>Earn a Hero Point when you expose a sorcerous, Sidhe or other supernatural influence that had been concealed.</t>
  </si>
  <si>
    <t>Rebuke the Blasphemer: Sir Godric believed it was his devotion and piety that gave him a potent weapon against sorcerers. He would have been disappointed to learn it was a gift of the Sidhe. Activate this Glamour to curse all Sorcerer Villains you can see. The next time a targeted Sorcerer rolls dice, he cannot use any die that rolls less than your Panache.</t>
  </si>
  <si>
    <t>Earn a Hero Point when someone you have never advised before comes to you for advice, and you consider their problem seriously and advise them appropriately.</t>
  </si>
  <si>
    <t>Sage Advice: Instruct another Hero on an appropriate course of action. Then activate this Glamour and make a Risk appropriate to the topic at hand (Wits+Warfare for a battle plan, for instance). Give the Raises to her along with specific guidance. At any time until the end of the session, she may spend those Raises towards any Action that follows the guidance.</t>
  </si>
  <si>
    <t>Earn a Hero Point when you establish a battle plan before an engagement and everyone in the engagement has a specific part to play.</t>
  </si>
  <si>
    <t>Rally of Heroes: Give a rousing shout or battle cry that raises the morale of your allies. Spend a Raise and a Hero Point during an Action Sequence to activate this Glamour. Each Hero who heard the cry count all dice that roll equal to or under his own Skill on his next roll as 10s.</t>
  </si>
  <si>
    <t>Earn a Hero Point when someone important to you is in trouble, and you stand with them and share their danger.</t>
  </si>
  <si>
    <t>Illuminate: Activating this Glamour fills the area around you with a magical and perfect ambient light for the Scene, not too dark, not too bright, to a distance of dozens of feet. All Unseelie Sidhe in the area suffer 5 Wounds immediately, and they roll 2 fewer dice for any Risks they make while in the illuminated area.</t>
  </si>
  <si>
    <t>Earn a Hero Point when you show compassion to someone who has no reason to expect it from you.</t>
  </si>
  <si>
    <t>Strength of Giants: Activate this Glamour to channel the strength of Giants. You become physically larger for the duration of the Scene, as much as 1' in height for each point of Brawn and proportionally broader and heavier. While enlarged and using Brawn as your Approach, you may increase the number on each of your individual dice by your Brawn. The first time you do this is free as part of the initial activation. Each new Brawn Approach costs an additional Hero Point. This stacks with other effects that change the value rolled on the dice.</t>
  </si>
  <si>
    <t>Earn a Hero Point when you create problems or tension by acting contrary to social expectations or by sticking up for someone who is acting contrary.</t>
  </si>
  <si>
    <t>I’ll Take It From Here: When an ally is out of Raises during an Action or Dramatic Sequence, activate this Glamour to gain a number of bonus Raises equal to your Finesse. You may only use these Raises towards furthering or completing whatever goal that ally had been working towards, although not necessarily in the same manner.</t>
  </si>
  <si>
    <t>Earn a Hero Point when you forgo subtlety to claim full credit for your actions or reveal your true intentions that had previously been concealed.</t>
  </si>
  <si>
    <t>Earn a Hero Point when things get more complicated because someone recognizes you from somewhere you have once traveled.</t>
  </si>
  <si>
    <t>Call the Sea: You can call upon Queen Maab and she answers. For 1 Hero Point, she tells you the direction and approximate distance of any ship sailing on the waters of the same sea as you. Or you can activate this Glamour to intensify or lessen the weather within 10 nautical miles of you. When the noon sun reaches its zenith, normal weather patterns resume. You can turn light rain into a thunderstorm or a ray of sunlight into a clear sky. At sea, you can calm raging waters to make them navigable or cause calm waters to rage and froth. If the new weather would be particularly advantageous (such as for swift sailing or concealing an approach), you gain 2 Bonus Dice.</t>
  </si>
  <si>
    <t>Earn a Hero Point when helping someone would create hardship or a great inconvenience for yourself or set you against your allies, but you choose to do so anyway because it feels right to you.</t>
  </si>
  <si>
    <t>Carpe Diem: This Glamour allows you to avoid Consequences that others would stumble against and seize Opportunities that others would miss. Activate this Glamour to gain a pool of free Raises equal to your Wits. These Raises do not contribute to action order but can be spent on your Action to reduce Consequences, take advantage of Opportunities or create Opportunities for others.</t>
  </si>
  <si>
    <t>Earn a Hero Point when you remain true to your word at great personal cost.</t>
  </si>
  <si>
    <t>Miraculous Recovery: Spend 1 or more Hero Points to activate this Glamour before getting a full night of quality sleep or uninterrupted meditation. When you awaken, heal 1 Dramatic Wound for every Hero Point spent.</t>
  </si>
  <si>
    <t>Earn a Hero Point when acting first, and thinking later leaves you isolated, alone and facing danger without support.</t>
  </si>
  <si>
    <t>I’m Not Done Yet: When you are out of Raises in an Action Sequence, activate this Glamour to inflict a number of Wounds on an opponent equal to your Weaponry+Brawn. A Hero who has activated this Glamour once in a Round may activate it again, but each time he does so he takes a Dramatic Wound. This Dramatic Wound cannot be prevented in any way.</t>
  </si>
  <si>
    <t>Darkness: When you activate this Glamour you can bring gloom to an area the size of a ballroom or courtyard for a scene. Shadows deepen, and lighting dims subtly. While within this darkened area, you may use a Raise for any of the following purposes: 1&gt; you can stand in a shadow and see and hear anything happening in another shadow in the area. 2&gt; you can travel between shadows in your line of sight— disappearing from one and reappearing in another. 3&gt; you may cloak yourself in shadow and become impossible to detect by mundane means. 4&gt; you can deepen a shadow causing anyone within that shadow to spend an extra Raise to take any action related to sight.</t>
  </si>
  <si>
    <t>Ancient Sidhe Lore: You must find a place favored by the Sidhe (such as a Fæ Circle, a pristine pool on a moonlit night, a meadow of wild flowers at noon, a candle reflected a million times in a pair of mirrors) and activate this Glamour to ask the Sidhe for aid. You may ask them a number of questions equal to your Wits. You may ask them to answer a single factual question about the present or the past with a yes or no; to tell you the current location of anyone or anything; or to reveal any bit of lost lore or scrap of ancient knowledge, if you know exactly what to ask for.</t>
  </si>
  <si>
    <t>Skatha's Cleasa</t>
  </si>
  <si>
    <t>Salmon Leap</t>
  </si>
  <si>
    <t>When able to move freely—your armor is not constrictive and you have vertical clearance—you may perform a special maneuver called the Salmon Leap. The Salmon Leap is a sudden high jump that allows you to leap over or around your target’s guard, regardless of your weapon. This maneuver deals Wounds equal to your Ranks in Athletics, and these Wounds cannot be prevented in any way. You may perform the Salmon Leap once per Round.</t>
  </si>
  <si>
    <t>Alquimia</t>
  </si>
  <si>
    <t>Juvenilia</t>
  </si>
  <si>
    <t>Wai Dan</t>
  </si>
  <si>
    <t>Rasayana</t>
  </si>
  <si>
    <t>Purification of spirit and body</t>
  </si>
  <si>
    <t>Salts, alloys, inks, and powder</t>
  </si>
  <si>
    <t>Chymystry</t>
  </si>
  <si>
    <t>material substances</t>
  </si>
  <si>
    <t>Spagyrics</t>
  </si>
  <si>
    <t>herbal medicine</t>
  </si>
  <si>
    <t>Takwin</t>
  </si>
  <si>
    <t>artificial life</t>
  </si>
  <si>
    <t>Magna Opera</t>
  </si>
  <si>
    <t>Chrysopoeia</t>
  </si>
  <si>
    <t>transformation</t>
  </si>
  <si>
    <t>Panacea</t>
  </si>
  <si>
    <t>preservation</t>
  </si>
  <si>
    <t>Alkahest</t>
  </si>
  <si>
    <t>disolution</t>
  </si>
  <si>
    <t>Siqueira</t>
  </si>
  <si>
    <t>Tomar al Toro Por las Astas</t>
  </si>
  <si>
    <t>While wielding a quarterstaff or large cudgel, you gain a special Maneuver called Tomar al Toro Por las Astas. When you perform this Maneuver, you apply Pressure to your target—if the target wishes to do anything other than attack you (causing Wounds to you by any means at his disposal), he must spend 2 Raises instead of 1 for that Action. If your target chooses to attack you, you deal him Wounds equal to your Ranks in Finesse. A Hero may only perform this Maneuver once per Round.</t>
  </si>
  <si>
    <t>De Vore</t>
  </si>
  <si>
    <t>De Vore Politesse</t>
  </si>
  <si>
    <t>Galdr</t>
  </si>
  <si>
    <t>Futhark</t>
  </si>
  <si>
    <t>Stort Merke</t>
  </si>
  <si>
    <t>Litet Merke</t>
  </si>
  <si>
    <t>Beast</t>
  </si>
  <si>
    <t>The Beast rune governs hunting prowess, primal instincts and creatures, both natural and unnatural. The rune names great Heroes with a connection to the wilds. Common people use it to protect against ambush.</t>
  </si>
  <si>
    <t>Choose one character in the same Scene as you (including yourself ). That character is immune to the Qualities of any Monsters that specifically targets her until the end of the Round, but any Wounds she takes from a Monster or wild animal are increased by 1.</t>
  </si>
  <si>
    <t>The target of the Rune can speak to and understand Monsters and animals for a Scene. This does not guarantee that such creatures have anything useful or insightful to say—it is still an animal or Monster, after all, and may be uninterested in a dialogue.</t>
  </si>
  <si>
    <t>Blood</t>
  </si>
  <si>
    <t>The Blood rune is related to family, kinship and the power of community. The rune names Heroes that follow great lineages, or those whose families do great deeds. Common people use it to ensure communal health and safety of their loved ones.</t>
  </si>
  <si>
    <t>Spend any number of your Hero Points. You may give those Hero Points to any other character in the same Scene.</t>
  </si>
  <si>
    <t>The character you target can immediately spend a Hero Point to gain 2 Raises.</t>
  </si>
  <si>
    <t>Courage</t>
  </si>
  <si>
    <t>The rune of Courage is most often associated with legitimacy of kingship, nobility and rule. The rune names Heroes who sat once as the high ruler of the land and those with noble hearts. Common people use it to ensure truth and honesty in business dealings.</t>
  </si>
  <si>
    <t>Spend any number of your Hero Points. The GM loses the same number of Danger Points.</t>
  </si>
  <si>
    <t>Choose another character in the Scene with you. That character can immediately activate an Opportunity without spending a Raise.</t>
  </si>
  <si>
    <t>The Storm rune speaks of unpredictability and sudden change. The rune names Heroes who fell to Villainy or Villains who redeemed themselves. Many people use the rune as a request for rain in dry seasons.</t>
  </si>
  <si>
    <t>All characters in the current Scene gain 1 Raise. Choose a character—that character instead gains 2 Raises.</t>
  </si>
  <si>
    <t>The character you target can immediately change his Approach.</t>
  </si>
  <si>
    <t>Hallbjorn</t>
  </si>
  <si>
    <t>Hallbjorn Slam</t>
  </si>
  <si>
    <t>When you wield a heavy weapon (typically an axe, but sometimes a longsword or hammer) in one hand and a shield in the other, you gain access to a special Maneuver called Hallbjorn Slam. When you perform Hallbjorn Slam, you deal Wounds equal to your Ranks in Brawn. The next time your target is dealt Wounds this Round, she suffers additional Wounds equal to your Ranks in Brawn. You may perform Hallbjorn Slam only once per Round.</t>
  </si>
  <si>
    <t>Iron</t>
  </si>
  <si>
    <t>The Iron rune is one of trial and tests of will, as well perseverance. The rune names Heroes who overcame great setbacks. Many use it to ward off disease and misfortune.</t>
  </si>
  <si>
    <t>Choose one character in the Scene with you (but not yourself ) and apply Pressure to that character. If that character chooses to overcome the Pressure (by paying 2 Raises for an Action) he gains 1 Hero Point. If that character does not overcome the Pressure (by choosing to take an Action in line with the Pressure you apply), he heals a number of Wounds equal to his highest Trait.</t>
  </si>
  <si>
    <t>The character you target can choose to gain 1 Raise and take Wounds equal to his highest Trait.</t>
  </si>
  <si>
    <t>Light</t>
  </si>
  <si>
    <t>The Light rune has implications in revelation, truth and sight. The rune names Heroes who lived true and just lives. Common people use it to attract wealth and prosperity.</t>
  </si>
  <si>
    <t>Choose one character in the Scene with you. Until the end of the Scene, that character cannot tell a lie. Until the end of the Scene, that character always knows when anyone else tells a lie.</t>
  </si>
  <si>
    <t>The character you target can immediately take an Action without spending a Raise, but that Action must use the Notice or Empathy Skill (though she does not have to pay Improvisation).</t>
  </si>
  <si>
    <t>Spirit</t>
  </si>
  <si>
    <t>Spirit is a rune that governs freedom, emotion and empathy. The rune names Heroes who gave of themselves to help others. Its most common use is as a love charm.</t>
  </si>
  <si>
    <t>Choose one character in the Scene with you currently under Pressure. The Pressure is immediately removed, but until the end of the Round that character must pay 2 Raises to overcome any further Pressure instead of 1.</t>
  </si>
  <si>
    <t>Choose a second character in the Scene with you. That character is affected by the stort merke of your Galdr, exactly the same as the first. If your stort merke affects multiple characters, this litet merke has no effect.</t>
  </si>
  <si>
    <t>Star</t>
  </si>
  <si>
    <t>The rune of the Star governs mysteries and hidden danger, as well as deception. The rune names Heroes whose origins and natures were mostly unknown. Most people use the rune to ward off danger.</t>
  </si>
  <si>
    <t>Choose one character in the Scene with you (but not yourself ). That character gains the Shapeshifting Quality, as if he were a Monster. Each time the character takes an Action while disguised in this way, he takes 1 Wound. If he takes a Dramatic Wound, his disguise breaks and he loses this Quality.</t>
  </si>
  <si>
    <t>The character you target can immediately take an Action without spending a Raise, but that Action must use the Hide or Theft Skill (though he does not have to pay Improvisation).</t>
  </si>
  <si>
    <t>Stone</t>
  </si>
  <si>
    <t>The Stone rune is one of endurance and perseverance and sometimes used to characterize stubbornness. The rune names Heroes who fought against all odds, never backing down. Common people use it as a charm to ensure healthy crops and herds.</t>
  </si>
  <si>
    <t>Choose one character in the Scene with you. The next time this Round that character is dealt Wounds, the Wounds she takes are reduced by half (rounded up). The next time this Round that character deals Wounds, the Wounds she deals are reduced by half (rounded up). The effects of this merke end at the end of the Round, regardless if the character dealt or received Wounds.</t>
  </si>
  <si>
    <t>The targeted character can spend a Hero Point to ignore any penalty resulting from Consequences (such as Wounds, dice penalties, etc) until the end of the Round.</t>
  </si>
  <si>
    <t>Thunder</t>
  </si>
  <si>
    <t>Thunder is the rune of boldness, fury and pride in the face of adversity. The rune names Heroes with goodness in their hearts and who brought peace to the land. It is commonly used to designate someone who is too prideful, as a plea to show humility.</t>
  </si>
  <si>
    <t>Choose one character in the Scene with you. The next time this Round that character deals Wounds, she deals additional Wounds equal to your highest Trait. The next time this Round that character is dealt Wounds, she is dealt additional Wounds equal to her highest Trait. The effects of this merke end at the end of the Round, regardless if the character dealt or received Wounds.</t>
  </si>
  <si>
    <t>The character you target is immune to Fear until the end of the Round.</t>
  </si>
  <si>
    <t>Time</t>
  </si>
  <si>
    <t>The rune of Time governs prophecy and destiny and most importantly cycles. The rune names Heroes who have a destiny, regardless of whether they follow it or not. The common use is to ward against idleness.</t>
  </si>
  <si>
    <t>Choose one character in the Scene with you (but not yourself ). That character immediately loses all of his Raises. Next Round, he gains a number of bonus Raises equal to double the amount of Raises he lost.</t>
  </si>
  <si>
    <t>The targeted character must take an Action immediately, spending Raises as normal to do so. If this litet merke is combined with the Time stort merke, the character takes an Action before losing her Raises.</t>
  </si>
  <si>
    <t>Winter</t>
  </si>
  <si>
    <t>Winter is a rune of hardship, darkness and inevitability. The rune names Heroes who sacrificed in the name of good, only to lose anyway. Most people use the rune to ward against hardship and misfortune.</t>
  </si>
  <si>
    <t>Choose one Opportunity in the current Scene with you. That Opportunity is destroyed, meaning no one can activate it.</t>
  </si>
  <si>
    <t>The next time this Round the target takes Wounds, she takes 1 additional Wound.</t>
  </si>
  <si>
    <t>Catch the Wind</t>
  </si>
  <si>
    <t>You can spend a Hero Point while piloting a Ship to arrive at your destination more quickly. If you do so, your Ship takes one Critical Hit, but you reduce your travel time by a quarter. If you are being pursued over water, you can instead activate this Advantage (paying the same costs as above) to escape your pursuers in a burst of wild nautical speed that should be impossible.</t>
  </si>
  <si>
    <t>Scathing Indictment</t>
  </si>
  <si>
    <t>Spend a Hero Point when you make an Intimidate or Convince Risk to reduce the Strength of any one Brute Squad in the Scene by half, rounding down.</t>
  </si>
  <si>
    <t>Spend 1 Wealth to successfully bribe a character during an Action or Dramatic Sequence without spending a Raise. You can do this once per Sequence.</t>
  </si>
  <si>
    <t>Adaptive Duelist</t>
  </si>
  <si>
    <t>Your Hero must know two Dueling Styles to purchase this Advantage. You can spend a Hero Point to switch your chosen Style in the middle of a round, as long as she still meets the requirements of the new Style she adopts (such as the weapon being wielded). You can only use this Advantage once per Round.</t>
  </si>
  <si>
    <t>This is My Town</t>
  </si>
  <si>
    <t>Spend a Hero Point when you are in a familiar area to lose a tail, pinpoint a stranger who does not belong here, recognize whether or not you are being followed or find a shortcut.</t>
  </si>
  <si>
    <t>Anything Can Be a Weapon</t>
  </si>
  <si>
    <t>Your Hero must have the Bar Fighter Advantage in order to purchase this Advantage. When you make a Brawling Risk to fight using an improvised weapon (such as an upturned table, a barstool, a plank of wood, a walking stick, etc), and you spend a Raise to inflict Wounds, you can choose to break your weapon. If you do so, the Wounds you inflict cannot be prevented in any way. You cannot use this Advantage again until the end of the Scene unless you pay a Hero Point to procure a new weapon.</t>
  </si>
  <si>
    <t>Fish in a Barrel</t>
  </si>
  <si>
    <t>Your Hero must have the Deadeye Advantage in order to purchase this Advantage. When you make an Aim Risk using a pistol, blunderbuss or a thrown weapon such as a knife or axe, spend a Raise to reduce the Strength of a Brute Squad by your Ranks in Finesse.</t>
  </si>
  <si>
    <t>Haymaker</t>
  </si>
  <si>
    <t>Your Hero must have the Boxer Advantage in order to purchase this Advantage. When you make a Brawl Risk to punch, kick, head-butt or otherwise injure another character using nothing but your own body, you can choose to spend all of your Raises on your first Action. You inflict a number of Wounds equal to the Raises you spend. The character you hit loses half of his current Raises, rounding down.</t>
  </si>
  <si>
    <t>Into the Fray</t>
  </si>
  <si>
    <t>Your Hero must have the Bruiser Advantage in order to purchase this Advantage. When you make a Weaponry Risk using a claymore, zweihander, battle axe, halberd or similar weapon in both hands, you can choose not to roll dice at the beginning of a Round. If you do so, you eliminate a single Brute Squad regardless of its Strength.</t>
  </si>
  <si>
    <t>Trigger Control</t>
  </si>
  <si>
    <t>Your Hero must have the Sniper Advantage in order to purchase this Advantage. When you make an Aim Risk using a long-barreled musket, longbow or crossbow, the first time you spend a Raise to inflict a Wound, you may spend a Hero Point to inflict an additional Dramatic Wound. Your victim must be unaware of your presence in order for you to use this Advantage, and once you use this Advantage you cannot activate it again until the end of the Scene.</t>
  </si>
  <si>
    <t>Whirlwind of Steel</t>
  </si>
  <si>
    <t>Your Hero must have the Fencer Advantage in order to purchase this Advantage. When you make a Weaponry Risk using a rapier, dagger, cutlass or similar weapon in one hand, you can choose not to roll dice at the beginning of a Round. If you do so, you reduce the Strength of all Brute Squads in the Scene to half, rounding down.</t>
  </si>
  <si>
    <t>Sidhe Squire</t>
  </si>
  <si>
    <t>The Sidhe have returned to Avalon, and it falls to you to make certain their return is as peaceful as it can be.</t>
  </si>
  <si>
    <t>Earn a Hero Point when you go out of your way to bridge the gap between Sidhe and mortal, leading to understanding between the two peoples.</t>
  </si>
  <si>
    <t>Royal Conservationist</t>
  </si>
  <si>
    <t>Avalon is a beautiful land, and the Queen has entrusted you to ensure it stays that way.</t>
  </si>
  <si>
    <t>Earn a Hero Point when you seek to preserve a natural wonder and doing so gets you into trouble.</t>
  </si>
  <si>
    <t>Shannagary Runner</t>
  </si>
  <si>
    <t>A skilled sailor can safely guide his ship down the Shannagary in three days. You can do it in two, with a few scratches.</t>
  </si>
  <si>
    <t>Earn a Hero Point when you sacrifice safety for speed and doing so gets you into trouble.</t>
  </si>
  <si>
    <t>Dornalai</t>
  </si>
  <si>
    <t>Pankkiiri</t>
  </si>
  <si>
    <t>Money talks, and you have quite the vocabulary.</t>
  </si>
  <si>
    <t>Earn a Hero Point when you use your position or money to bully another character into a course of action, and it gets you into trouble.</t>
  </si>
  <si>
    <t>Vala</t>
  </si>
  <si>
    <t>The scribes and politicians of today believe words have power. They have no idea how right they are.</t>
  </si>
  <si>
    <t>Earn a Hero Point when you refuse to solve a problem using magic when it would be easy to do so; the problem is not important enough to wield such power against it.</t>
  </si>
  <si>
    <t>“Oi, yerrabig fella. I betchaboxa bit, don’tcha?”</t>
  </si>
  <si>
    <t>Earn a Hero Point when you let bygones be bygones after a fight, win or lose, and form a bond with your opponent.</t>
  </si>
  <si>
    <t>Boticario</t>
  </si>
  <si>
    <t>Science is a beautiful thing.</t>
  </si>
  <si>
    <t>Earn a Hero Point when you doggedly pursue an alchemical secret, and your persistence gets you into trouble.</t>
  </si>
  <si>
    <t>La Joven Promesa</t>
  </si>
  <si>
    <t>You did not win the tournament at el Baile, but you were recognized as someone to be watched.</t>
  </si>
  <si>
    <t>Earn a Hero Point when you complicate a problem to improve your skills with a sword or expand your reputation.</t>
  </si>
  <si>
    <t>Sabueso Real</t>
  </si>
  <si>
    <t>The enemies of the Royal Detectives insist you're just another of the king's hunting hounds, but they all say it from prison.</t>
  </si>
  <si>
    <t>Earn a Hero Point when you refuse to act until you have more information, causing even more trouble for you.</t>
  </si>
  <si>
    <t>Tercio</t>
  </si>
  <si>
    <t>You signed up to serve to make a better lot for yourself. That all fell through, but you have not given up hope.</t>
  </si>
  <si>
    <t>Earn a Hero Point when you take up a cause in pursuit of redemption, a pardon for past crimes or a chance at earning a noble title.</t>
  </si>
  <si>
    <t>Balayeur</t>
  </si>
  <si>
    <t>You are a street sweeper by trade, and you bring your own broom that spits metal and eats black powder.</t>
  </si>
  <si>
    <t>Earn a Hero Point when you successfully maintain control of a chaotic situation while you are outnumbered.</t>
  </si>
  <si>
    <t>Epee Sanglante</t>
  </si>
  <si>
    <t>La Souris Du Marche</t>
  </si>
  <si>
    <t>Murskaaja</t>
  </si>
  <si>
    <t>Hrungnir</t>
  </si>
  <si>
    <t>La Voix Des Sans-Voix</t>
  </si>
  <si>
    <t>Walkway Escapee</t>
  </si>
  <si>
    <t>Anything Can Be A Weapon</t>
  </si>
  <si>
    <t>You learned the art of blade and blood, earning the title of Épée Sanglante along with your peers' admiration and fear.</t>
  </si>
  <si>
    <t>Earn a Hero Point when you use your opponent’s fear of your ability to avoid a conflict, whether his assumptions about you are correct or not.</t>
  </si>
  <si>
    <t>You know these streets like the back of your hand.</t>
  </si>
  <si>
    <t>Earn a Hero Point when you choose to share your ill-gotten gains with someone else, because she needs it more than you do.</t>
  </si>
  <si>
    <t>You speak for those who cannot speak for themselves, too weak or too afraid. You are the voice of the voiceless.</t>
  </si>
  <si>
    <t>Earn a Hero Point when declining a solution that benefits you personally, but is detrimental for those you represent.</t>
  </si>
  <si>
    <t>You were once trapped in the walkway for an untold span, but you escaped—not that you remember it. In fact, you do not remember your life before that either...yet.</t>
  </si>
  <si>
    <t>Earn a Hero Point whenever your past comes back to haunt you, and it causes you problems.</t>
  </si>
  <si>
    <t>You do not need a sword to be dangerous.</t>
  </si>
  <si>
    <t>Earn a Hero Point when someone underestimates you due to your lack of a weapon, and you turn his misconception to your advantage.</t>
  </si>
  <si>
    <t>A line of defenders is only as strong as the weakest link. You excel at finding that link and shattering it.</t>
  </si>
  <si>
    <t>Earn a Hero Point when you hurl yourself headlong into a dangerous situation in order to throw your opponents off-guard.</t>
  </si>
  <si>
    <t>The Long-Strider League</t>
  </si>
  <si>
    <t>Inquisito Aquila</t>
  </si>
  <si>
    <t>La Bravoure de l'Epervier</t>
  </si>
  <si>
    <t>Seekers of the Word of Ekerila</t>
  </si>
  <si>
    <t>Penny Pincher</t>
  </si>
  <si>
    <t>Your Hero knows how to live on the skinny in order to keep a little something squirreled away for a rainy day. For each time you purchase this Advantage, you can save one Wealth Point between game sessions. This does not create Wealth, it only allows you to save existing Wealth Points.</t>
  </si>
  <si>
    <t>Personal Motto</t>
  </si>
  <si>
    <t>Your Hero has a catchphrase, adage, or rallying cry that she uses frequently. Choose your personal motto (such as “I’ve got a bad feeling about this” or “We always pay our debts”). Whenever you make a Risk after saying your personal motto, and whenever your personal motto is appropriate, you gain 1 bonus die.</t>
  </si>
  <si>
    <t>Born in the Saddle</t>
  </si>
  <si>
    <t>Spend a Hero Point to make a special maneuver with your horse. You can spur your mount to make an incredible leap, summon your trusted steed to your side (so long as it is physically capable of coming to you) or direct it to evade an enemy’s attack or strike back with hooves and teeth (preventing or dealing Wounds equal to your Ranks in Ride).</t>
  </si>
  <si>
    <t>Heartfelt Appeal</t>
  </si>
  <si>
    <t>Spend a Hero Point to implore another character to follow her conscience, look the other way for the greater good or otherwise do the right thing when it isn’t in her best interest to do so.</t>
  </si>
  <si>
    <t>Imperious Glare</t>
  </si>
  <si>
    <t>Spend a Hero Point to use your authority (real or perceived) to cause another character to leave you alone, get out of your way or dismiss your actions as nothing more than a tantrum thrown by a haughty noble.</t>
  </si>
  <si>
    <t>O Captain My Captain</t>
  </si>
  <si>
    <t>Spend a Hero Point when you make a Risk to take a bold or dangerous action on the high seas in order to inspire your crew and allies to bravery. All of your allies gain Bonus Dice equal to your Ranks in Sailing.</t>
  </si>
  <si>
    <t>Wrecking Ball</t>
  </si>
  <si>
    <t>Spend a Hero Point to break down a door, smash a barricade, knock over a carriage or otherwise destroy or disable an object using your strength and momentum.</t>
  </si>
  <si>
    <t>Body Blow</t>
  </si>
  <si>
    <t>When you spend a Raise to deal Wounds or perform a Maneuver during a Brawl Risk, you can spend a Hero Point to increase the amount of Wounds you deal. Each Hero Point you choose to spend in this way causes your blow to deal 2 additional Wounds.</t>
  </si>
  <si>
    <t>Brains of the Outfit</t>
  </si>
  <si>
    <t>When you spend a Hero Point to give Bonus Dice to another Hero during a Risk, you may spend a second Hero Point. If you do, you grant that Hero additional Bonus Dice equal to your Ranks in Scholarship if you describe how your knowledge of academic pursuits will aid her in her Risk.</t>
  </si>
  <si>
    <t>Fast Draw</t>
  </si>
  <si>
    <t>When you make an Aim Risk, you can spend a Hero Point to gain an additional Raise for each pair of doubles that your dice roll. These dice can still be used for additional Raises as normal.</t>
  </si>
  <si>
    <t>Flashing Blade</t>
  </si>
  <si>
    <t>When you spend a Raise to deal Wounds or perform a Maneuver to deal Wounds to a character or Brute Squad during a Weaponry Risk, you can spend a Hero Point to deal the same number of Wounds to a different character or Brute Squad in the same Scene. A Hero can only use this Advantage once per Round.</t>
  </si>
  <si>
    <t>Activate this Advantage after the Game Master buys your unused dice during an Empathy Risk. You gain 2 Hero Points for each die the Game Master purchases. A Hero may only activate this Advantage once per game session.</t>
  </si>
  <si>
    <t>Flirting with Disaster</t>
  </si>
  <si>
    <t>Activate this Advantage when you make a Tempt Risk. The Game Master must buy all of your unused dice. A Hero can only activate this Advantage once per game session.</t>
  </si>
  <si>
    <t>Moral Compass</t>
  </si>
  <si>
    <t>Requirement: Your Hero must have completed a Redemption story, and have no Corruption. Your Hero knows that people are better than the worst thing they ever did—in fact, your Hero embodies this. Whenever you help another Hero complete a step in a Redemption Story, that Hero loses two Corruption Points instead of one.</t>
  </si>
  <si>
    <t>Dark Gift</t>
  </si>
  <si>
    <t>Choose one Monster Quality. You can spend a Hero Point to gain the Villain benefits of that Monster Quality for a Round. Whenever you activate your Dark Gift, you gain 1 Corruption Point, but you do not roll Corruption. If use of this Advantage causes you to reach 10 Corruption, you immediately become a Monster—not a Villain, a Monster. While active, your Dark Gift’s manifestation is obvious to even a casual observer—your eyes might glow brightly, leathery wings may sprout from your back or your skin might become oil-slick and black as night. Anyone who sees you knows you for what you truly are—a Monster. A Hero can only acquire this Advantage after Hero Creation by adventuring in Eisen.</t>
  </si>
  <si>
    <t>Apostat</t>
  </si>
  <si>
    <t>You were cast out from your homeland because of what you could do, but you won’t let that stop you from doing what’s right.</t>
  </si>
  <si>
    <t>Earn a Hero Point when you chose to ally with someone you find personally distasteful in order to accomplish something important.</t>
  </si>
  <si>
    <t>Befleckte Steele</t>
  </si>
  <si>
    <t>There’s something inside of you that’s dark and wicked, always gnawing at the edge of your mind. But power— even when it stems from evil—can be turned to good.</t>
  </si>
  <si>
    <t>Earn a Hero Point when you use your Monstrous nature to solve a problem and someone shuns you for it.</t>
  </si>
  <si>
    <t>Eisenblut</t>
  </si>
  <si>
    <t>Earn a Hero Point when you choose to sacrifice something important to you personally for the good of Eisen or its people.</t>
  </si>
  <si>
    <t>There is still nobility in Eisen, and there is still iron in your blood.</t>
  </si>
  <si>
    <t>Stratege</t>
  </si>
  <si>
    <t>You were always excellent at chess when you were a child. Now you understand that the world itself is a chessboard, and you’re still the best in the game.</t>
  </si>
  <si>
    <t>Earn a Hero Point when you make a critical miscalculation in your plan, and it gets you or your allies into trouble.</t>
  </si>
  <si>
    <t>Macher</t>
  </si>
  <si>
    <t>Earn a Hero Point when you choose to reveal yourself to an enemy in order to help another character get out of trouble.</t>
  </si>
  <si>
    <t>Get in, get what you’re after and get out. But you make sure that EVERYONE gets out.</t>
  </si>
  <si>
    <t>Mowca</t>
  </si>
  <si>
    <t>Earn a Hero Point when you successfully solve a problem by convincing another character to listen to her conscience.</t>
  </si>
  <si>
    <t>There’s a good soul inside of everyone. Some people just need a little help in finding it.</t>
  </si>
  <si>
    <t>Rycerz Ludzi</t>
  </si>
  <si>
    <t>Rycerz Senatu</t>
  </si>
  <si>
    <t>Earn a Hero Point when you solve a problem by convincing a group of people to unite and stand up for themselves.</t>
  </si>
  <si>
    <t>You are a knight of the people, defending the common citizen from any threat he might face.</t>
  </si>
  <si>
    <t>Earn a Hero Point when you choose to hide something from an authority figure for noble reasons, and it gets you into trouble.</t>
  </si>
  <si>
    <t>You carry the word of the Senat. You are empowered to enact their will and answer only to them.</t>
  </si>
  <si>
    <t>Borets</t>
  </si>
  <si>
    <t>Earn a Hero Point when someone recognizes you due to your reputation, and you'd really prefer they didn't.</t>
  </si>
  <si>
    <t>You’ve made a name for yourself as an exceptional Ussuran brawler.</t>
  </si>
  <si>
    <t>Capitano</t>
  </si>
  <si>
    <t>Earn a Hero Point when you commit to a dangerous course of action because your bravado and ego won't let you turn away.</t>
  </si>
  <si>
    <t>With a ship under your feet, the wind at your back and a crew singing shanties, there’s nothing you can’t do.</t>
  </si>
  <si>
    <t>Doverchivii Dusha</t>
  </si>
  <si>
    <t>Earn a Hero Point when another character gets away with lying to you or manipulating you, and it gets you into trouble.</t>
  </si>
  <si>
    <t>You’re a sucker for a good sob story, but you’d rather trust the wrong person than turn away from someone who truly needs you.</t>
  </si>
  <si>
    <t>Moroso</t>
  </si>
  <si>
    <t>Earn a Hero Point when you choose to let another character get away with something because you're romantically interested in him, and it gets you into trouble.</t>
  </si>
  <si>
    <t>What’s the point of romance if it doesn’t come with a little—or a lot—of danger?</t>
  </si>
  <si>
    <t>Pistola Nascosta</t>
  </si>
  <si>
    <t>Earn a Hero Point when you solve a problem with the threat of violence, but without having drawn your firearm.</t>
  </si>
  <si>
    <t>By the time they see the barrel of your pistol, it’s already too late. You hope it doesn’t come to that.</t>
  </si>
  <si>
    <t>Razrushitel</t>
  </si>
  <si>
    <t>Earn a Hero Point when you commit to a course of action that is loud, direct and lacks any sense of subtlety.</t>
  </si>
  <si>
    <t>Why go around when you can go through?</t>
  </si>
  <si>
    <t>Tura's Cursed</t>
  </si>
  <si>
    <t>Earn a Hero Point when you convince another character to shun authority or act outside of their defined social status, and it gets you into trouble.</t>
  </si>
  <si>
    <t>There is more than one path to power. You know this first hand.</t>
  </si>
  <si>
    <t>Wild Strega</t>
  </si>
  <si>
    <t>Earn a Hero Point when you choose to help another character using your untrained Sorte powers, and it gets you into trouble.</t>
  </si>
  <si>
    <t>Your magic is unrefined, but no less potent and no less dangerous.</t>
  </si>
  <si>
    <t>Le Strade</t>
  </si>
  <si>
    <t>La Furia delle Strade</t>
  </si>
  <si>
    <t>Kulachniy Boi</t>
  </si>
  <si>
    <t>Iron and Velvet</t>
  </si>
  <si>
    <t>When wearing rukavitsa under her longsleeves, a Kulachniy Boi Duelist may use her Ranks in Brawl in place of Weaponry when she performs Duelist Maneuvers. While wearing the rukavitsa, the duelist gains one free Raise to keep her weapon concealed.</t>
  </si>
  <si>
    <t>Szybowanie</t>
  </si>
  <si>
    <t>Eagle’s Dive</t>
  </si>
  <si>
    <t>When you fight from any advantageous height (not only horseback), you gain a special Maneuver called Eagle’s Dive. You leap down upon your opponent delivering a very powerful blow. Eagle’s Dive deals a number of Wounds equal to your Ranks in Weaponry + your Ranks in Ride. A Duelist must spend 1 Hero Point and may only perform Eagle’s Dive once per Round.</t>
  </si>
  <si>
    <t>Kummerholt</t>
  </si>
  <si>
    <t>Death Knell</t>
  </si>
  <si>
    <t>When you wield a small blade in one hand (such as a dagger, a jagged piece of shrapnel or the remnants of a broken sword), you gain a special Maneuver called the Death Knell. Spend all your Raises. You deal a number of Wounds equal to your Ranks in Weaponry + the number of Raises you spent + your opponent’s Strength (or your opponent’s highest Trait, if not a Villain). These Wounds cannot be avoided or prevented in any way. A Hero can only perform Death Knell once per Scene.</t>
  </si>
  <si>
    <t>Kinder von Morgen</t>
  </si>
  <si>
    <t>The Most Noble and Ancient Order of the Post</t>
  </si>
  <si>
    <t>The Ushkuiniks</t>
  </si>
  <si>
    <t>The Philosophi Sanguinis</t>
  </si>
  <si>
    <t>Sorcery (self-trained Strega)</t>
  </si>
  <si>
    <t>You gain 1 rank of Strega Sorcery, but suffer penalties to using it due to not having proper training.</t>
  </si>
  <si>
    <t>Anosmia Oil (Apostat)</t>
  </si>
  <si>
    <t>A clump of fur and a drop of urine from a Monster, boiled in herbs, essential oils and acid, then reduced to an oily paste. This oil can then be rubbed on a person’s body, to prevent all Monsters—for a single Scene—from tracking that person through smell. A Monster must spend an extra Raise to try to find you.</t>
  </si>
  <si>
    <t>Monsters can't track you by smell.</t>
  </si>
  <si>
    <t>A Monster’s tooth, a dried frog and a crow’s feather ground into a powder and added to goat’s milk. Once swallowed a person gains the ability to run and jump like a wild beast. A hexe can use this Unguent to complete an athletic task that he could not normally perform. An example would be using the Unguent to jump across a twenty-foot crevasse. It does not allow the hexe to complete a task the Monster wouldn’t be able to perform itself.</t>
  </si>
  <si>
    <t>Have someone drink this tea to make them forget the past day</t>
  </si>
  <si>
    <t>Demon horn, mushrooms and bone meal cooked dry, ground into a powder and added to a tea. When consumed can make the person forget everything about the last day. Fugue powder is very hard to procure as demon horns are not often found lying around. It takes a large amount of tea for this to work.</t>
  </si>
  <si>
    <t>Using something from a monster to scry on it</t>
  </si>
  <si>
    <t>A sharpened blackwood branch, burnt, then rolled in berries, mud and something from the target Monster (fur, blood, etc.). Using the branch to scratch the target’s own body—taking 1 Dramatic Wound—that person goes into a trance. In the trance, she sees what the target Monster sees. This may be out of context but can give the user a better idea of the Monster’s location and what it is doing. This connection is very weak and can be lost easily. If the Monster goes to sleep or takes a Wound, the connection is lost. If the user takes a Wound, the connection is severed. Wild Sight only lasts one Scene. While in the Wild Sight state, a person can spend 1 Hero Point to then perform a Notice Risk to gain additional information about the Monster.</t>
  </si>
  <si>
    <t>Ferocious Mobility (Apostat)</t>
  </si>
  <si>
    <t>Fugue Powder (Apostat)</t>
  </si>
  <si>
    <t>Wild Sight (Apostat)</t>
  </si>
  <si>
    <t>Tura's Touch</t>
  </si>
  <si>
    <t>Language of Birds</t>
  </si>
  <si>
    <t>You can speak to any birds in the Scene. You may ask them about what they have seen or heard before you arrived or earlier in their travels. You may also request aid from the birds in Tură’s name. Even birds who have never been to Ussura try to fulfill your request. If the request requires a Risk, the bird rolls 5 Dice, but you decide how it spends its Raises. It gains 2 Bonus Dice if the request is particularly well suited to it.</t>
  </si>
  <si>
    <t>Talk to birds for info or have them work for you</t>
  </si>
  <si>
    <t>Lightning</t>
  </si>
  <si>
    <t>Read the Wind</t>
  </si>
  <si>
    <t>Wind Walk</t>
  </si>
  <si>
    <t>You summon lightning to strike your enemies. While you can summon lightning no matter the weather, you must have clear access to the sky. If you are indoors and all the windows are closed, you cannot summon it. With lightning, you deal Wounds equal to your Ranks in Scholarship. Wounds caused by lightning cannot be defended against.</t>
  </si>
  <si>
    <t>The breeze brings you quick images from wherever the slightest wind can touch. This can be a quick way to check for anyone following you, an ambush up ahead or anything interesting nearby. If you  oncentrate, however, you can focus on one or two events near or far. This is a Notice Risk. For each Raise, you can ask a question about what is happening in the scenes. Each question may only involve one sense, that is, what is visible, audible or smellable, not two or more at a time.</t>
  </si>
  <si>
    <t>You, and anything directly touching your skin, become air. You should probably ask a friend to watch your gear. While wind walking, you are invisible and intangible, but if you talk or make some other noise, you can be heard. Also, someone may notice a slight breeze when you walk past. You may travel as an air current can, meaning you cannot go through liquid or solid objects, but you can move through cracks or small holes.  Lasts a scene by default, then 2 wounds per extra scene until DW ends it.</t>
  </si>
  <si>
    <t>Tasks</t>
  </si>
  <si>
    <t>Spread Tura's Message</t>
  </si>
  <si>
    <t>Undermine Matushka's Message</t>
  </si>
  <si>
    <t>Stop Matushka</t>
  </si>
  <si>
    <t>Lightning from sky hits target for dmg = ranks in scholarship</t>
  </si>
  <si>
    <t>See what is happening elsewhere</t>
  </si>
  <si>
    <t>Turn into wind and walk around for a while</t>
  </si>
  <si>
    <t>National</t>
  </si>
  <si>
    <t>~~NATIONAL~~</t>
  </si>
  <si>
    <t>nations of theah</t>
  </si>
  <si>
    <t>pirate nations</t>
  </si>
  <si>
    <t>Monster Qualities</t>
  </si>
  <si>
    <t>When wielding a rapier in your lead hand, you gain a special Maneuver called de Vore Politesse. Once per round perform this maneuver by spending all of your Raises and selecting a character (even yourself ) in the same Scene as you. This prevents all Wounds dealt to that character (even Wounds otherwise impossible to prevent like the Lunge Maneuver or the automatic Dramatic Wound from a gunshot). Wounds prevented must be dealt by another character—not by the environment or Consequences (such as explosions or cannon fire)</t>
  </si>
  <si>
    <t>Once per round when you wield a fencing sword (such as a rapier or cutlass) in one hand and nothing in the other, and fight in an area with a number of obstacles to climb, jump or swing from (such as a city, town or a ship), you can perform this maneuver. It prevents  Wounds equal to your Ranks in Athletics, and creates an environment- related Consequence for your opponent with Ranks equal to your Finesse. This Cons. requires one Raise to overcome and deals its Rank in Wounds to your opp. at the end of the Round if left unchecked.</t>
  </si>
  <si>
    <t>Fæ Confusion: During any Action or Dramatic Sequence, you can activate this to throw opponents into confusion. Any Villain targeted by Confusion must spend extra Raises this Round as if every Action he does is Improvised. If your Approach uses the Brawl or Weaponry Skill, the number of opponents equals your Brawn. For all other Approaches, the number equals your Wits. All of the targets must be selected. If there are not enough opponents, you must target allies or even yourself.</t>
  </si>
  <si>
    <t>paraphrase</t>
  </si>
  <si>
    <t>Take the form of a common woodland mammal for a Scene. Keep your stats, sometimes +2 dice. You may speak with forest creatures. They can be treated as a Brute Squad.</t>
  </si>
  <si>
    <t>Make yourself conspicuous during a fight to apply Pressure to all opponents who can see you. They must spend an extra Raise to perform any action other than withdrawing from the fray.</t>
  </si>
  <si>
    <t>Activate this Glamour to obtain the Style Bonus from any Duelist Style for the duration of the Action Sequence. You may use that Style Bonus irrespective of what weapon you are armed with.</t>
  </si>
  <si>
    <t>Allow one nearby allied Hero to ignore all negative effects from her DWs for the rest of the Action Sequence. You may then spend your Raises 1-for-1 on Avoiding Wounds on her behalf.</t>
  </si>
  <si>
    <t>While active, you can eat and drink, in a single setting, as much as people as your Ranks in Brawn +  Resolve. Later, you may Activate to go a number of days (same limit) without food or drink.</t>
  </si>
  <si>
    <t>Confuse Opponents. Villains must spend Raises as if everything is Improvised. For Brawl or Weaponry, the # of opps. is your Brawn. Else, # is your Wits. If not enough opps, must target allies.</t>
  </si>
  <si>
    <t>Activate this to give your blessing. Spend 1 Hero Point per target. The next time a target rolls dice this session, any die that rolls equal to or less than your Panache becomes a 10.</t>
  </si>
  <si>
    <t>You may ask the Sidhe a # of questions equal to your Wits. Question is single factual question about the present or the past with a yes or no; current location of something; or any bit of lost lore.</t>
  </si>
  <si>
    <t>All metal in musket range of you is shocking. Wielders of such an objects must immediately drop it or take your Wits in Wounds and roll 1d10&lt; her Resolve, or drop it anyway. Keeps charge for hour</t>
  </si>
  <si>
    <t>Activate this Glamour to curse all Sorcerer Villains you can see. The next time a targeted Sorcerer rolls dice, he cannot use any die that rolls less than your Panache.</t>
  </si>
  <si>
    <t>Instruct another Hero, activate this and make a Risk appropriate to the topic. Give the Raises to her + specific guidance. At any time, she may spend them on any Action that follows the guidance.</t>
  </si>
  <si>
    <t>Give a shout or battle cry  and spend a Raise and a Hero Point during an Action Sequence to activate. Each Hero who heard the cry count all dice that roll &lt;= his own Skill on his next roll as 10s.</t>
  </si>
  <si>
    <t>Activating this fills the area with perfect light for the Scene. All Unseelie Sidhe in the area suffer 5 Wounds immediately, and they roll 2 fewer dice for any Risks while in the illuminated area.</t>
  </si>
  <si>
    <t>Activate this to get bigger. While using Brawn, you may increase the # on each of your individual dice by your Brawn. The first time you do this is free. Each new Brawn Approach costs 1 HP. Stacks</t>
  </si>
  <si>
    <t>I Will Not Be Moved</t>
  </si>
  <si>
    <t>Channel the Blade</t>
  </si>
  <si>
    <t>You Won’t Die Here</t>
  </si>
  <si>
    <t>Perpetual Feast</t>
  </si>
  <si>
    <t>Fæ Confusion</t>
  </si>
  <si>
    <t>Blessing of the Penitent</t>
  </si>
  <si>
    <t>Ancient Sidhe Lore</t>
  </si>
  <si>
    <t>Shocking Disarm</t>
  </si>
  <si>
    <t>Rebuke the Blasphemer</t>
  </si>
  <si>
    <t>Sage Advice</t>
  </si>
  <si>
    <t>Rally of Heroe</t>
  </si>
  <si>
    <t>Strength of Giant</t>
  </si>
  <si>
    <t>I’ll Take It From Here</t>
  </si>
  <si>
    <t>Call the Sea</t>
  </si>
  <si>
    <t>Carpe Diem</t>
  </si>
  <si>
    <t>Miraculous Recovery</t>
  </si>
  <si>
    <t>I’m Not Done Yet</t>
  </si>
  <si>
    <t>When an ally is out of Raises, activate this to gain a # of bonus Raises = your Finesse. You may only use these Raises towards furthering or completing whatever goal they had been working towards</t>
  </si>
  <si>
    <t>Gloomy area for a scene. Can use a Raise to:  See and hear in another shadow; teleport between shadows you see; become undetectable; or make others spend Raise for anything sight related.</t>
  </si>
  <si>
    <t>Question Maab. For 1 Hero Point, she tells you the direction + distance of any ship sailing on the same sea as you. Or activate to + or - the weather within 10 miles of you till noon for +2 dice.</t>
  </si>
  <si>
    <t>Activate this  to gain a pool of free Raises = your Wits. These Raises can be spent on your Action to reduce Consequences, take advantage of Opportunities or create Opportunities for others.</t>
  </si>
  <si>
    <t>Spend 1 or more HP to activate this before getting a full night of quality sleep or uninterrupted meditation. When you awaken, heal 1 Dramatic Wound for every Hero Point spent.</t>
  </si>
  <si>
    <t>When you are out of Raises, activate this to inflict a # of Wounds on an opp. = your Weaponry+Brawn. Each activation past 1 per round deals you 1 unaviodable DW.</t>
  </si>
  <si>
    <t>Eat some monster to perform monstruous acrobatics</t>
  </si>
  <si>
    <t>Select 1 task</t>
  </si>
  <si>
    <t>Task</t>
  </si>
  <si>
    <t>Teach self-sufficience, moderated indulgence, working together vs the wilds, and that I supplicant should not seek Matsuhka</t>
  </si>
  <si>
    <t>Tell a story that reflects well on Leshiye, sometimes in multiple places.  Or, find candidates for Tura.</t>
  </si>
  <si>
    <t>Simeple tasks or investigations, eventually of those in high places</t>
  </si>
  <si>
    <t>Select 1 Juvenilia</t>
  </si>
  <si>
    <t>Select 2 Juvenilia</t>
  </si>
  <si>
    <t>Select 3 Juvenilia</t>
  </si>
  <si>
    <t>Select 4 Juvenilia</t>
  </si>
  <si>
    <t>Alchemical Items cost 1 Hero Point to craft and a Raise to use</t>
  </si>
  <si>
    <t>Select all 5 Juvenilia</t>
  </si>
  <si>
    <t>Magna Opera earned through story</t>
  </si>
  <si>
    <t>Select 2 runes</t>
  </si>
  <si>
    <t>Select 4 runes</t>
  </si>
  <si>
    <t>Select 6 runes</t>
  </si>
  <si>
    <t>Select 8 runes</t>
  </si>
  <si>
    <t>Select 10 runes</t>
  </si>
  <si>
    <t>Select all 12 runes</t>
  </si>
  <si>
    <t>Activating a Galdr costs a Hero Point</t>
  </si>
  <si>
    <t>Each Galdr has effects of 1 Stort version and 1 Litet version</t>
  </si>
  <si>
    <t>Stort Para</t>
  </si>
  <si>
    <t>Litet Para</t>
  </si>
  <si>
    <t>Stort version</t>
  </si>
  <si>
    <t>Litet version</t>
  </si>
  <si>
    <t>One character in the scene is immune to the Qualities of any Monsters that specifically target her until the end of the Round, but she takes +1 Wounds from Monsters or wild animals.</t>
  </si>
  <si>
    <t>Apply Pressure to another character. If they overcome it (pay 2 Raises for Action) they gain 1 HP. If not (take Action in line with the Pressure), they heal Wounds equal to highest Trait.</t>
  </si>
  <si>
    <t>One character in the Scene with you currently under Pressure has it removed, but until the end of the Round they must pay 2 Raises to overcome any further Pressure instead of 1.</t>
  </si>
  <si>
    <t>One other character with you gains the Shapeshifting Monster Quality. Each time they takes an Action while disguised in this way, he takes 1 Wound. If he takes a DW, his disguise breaks.</t>
  </si>
  <si>
    <t>One character in the Scene with you. The next time this Round they are dealt Wounds, those are halved. The next time this Round they deal Wounds, those are halved. Ends at end of Round</t>
  </si>
  <si>
    <t>One character with you. The next time they deal Wounds, they deal + Wounds = YOUR highest Trait. The next time they  receive Wounds, they get + Wounds = to THEIR highest Trait. Lasts 1 rnd.</t>
  </si>
  <si>
    <t>Choose one character in the Scene with you (but not yourself ). They immediately loses all of his Raises. Next Round, he gains a number of bonus Raises equal to 2x the amount of Raises he lost.</t>
  </si>
  <si>
    <t>The target of the Rune can speak to and understand Monsters and animals for a Scene. It is still an animal or Monster, and may be uninterested in a dialogue or have nothing useful to say.</t>
  </si>
  <si>
    <t>Choose a 2nd character in the Scene with you. They are affected by the stort merke of your Galdr, exactly the same as the first. If your stort merke affects multiple characters, this does nothing</t>
  </si>
  <si>
    <t>Targeted character must take an Action immediately, spending Raises as normal to do so. If this is combined with the Time stort merke, the character takes an Action before losing her Raises.</t>
  </si>
  <si>
    <t>Sorcery (Self-trained Strega)</t>
  </si>
  <si>
    <t>Aquatic</t>
  </si>
  <si>
    <t>Chitinous</t>
  </si>
  <si>
    <t>Elemental</t>
  </si>
  <si>
    <t>Fearsome</t>
  </si>
  <si>
    <t>Nocturnal</t>
  </si>
  <si>
    <t>Powerful</t>
  </si>
  <si>
    <t>Regenerating</t>
  </si>
  <si>
    <t>Shadowy</t>
  </si>
  <si>
    <t>Shapeshifting</t>
  </si>
  <si>
    <t>Swift</t>
  </si>
  <si>
    <t>Teleporting</t>
  </si>
  <si>
    <t>Tentacled</t>
  </si>
  <si>
    <t>Unliving</t>
  </si>
  <si>
    <t>Venomous</t>
  </si>
  <si>
    <t>Winged</t>
  </si>
  <si>
    <t>Although not necessarily restricted to the water, this creature definitely feels at home there. Woe to any Hero who faces such a Monster beneath the waves. If this Monster is a Villain, it rolls 5 additional dice in any Risk it takes while in water. If this is a Monster Squad, it inflicts double Wounds while in water.</t>
  </si>
  <si>
    <t>This Monster has a tough outer shell, such as scales or a hard insect-like exoskeleton. Spend a Danger Point to negate all Wounds dealt to this Monster by a single attack.</t>
  </si>
  <si>
    <t>This is a creature of raw elemental might, such as a demon whose blood literally boils in her veins or a hungry ghost of winter who can freeze a man solid with a touch. Choose an element, such as fire, ice, lightning, etc. If this Monster is a Villain, when the Monster is exposed to that element or uses that element to attack the Heroes, it rolls 5 additional dice in any Risk to do so. If this is a Monster Squad, it inflicts double Wounds when using its element. Any Wounds that would result from the Monster’s element (such as if a Hero throws oil on a fire Monster and sets it aflame) are ignored.</t>
  </si>
  <si>
    <t>This Monster is terrifying to behold, much less face. The Monster gains a Rank of Fear, plus an additional Rank of Fear per 5 Strength. Spend a Danger Point to double the Monster’s Fear Rank for 1 Round.</t>
  </si>
  <si>
    <t>The night is dark and full of terrors. This is one of them. If this Monster is a Villain, it rolls 5 additional dice in any Risk it takes at night or in complete darkness (if you are trying to fight it inside a mine, for example). If this is a Monster Squad, it inflicts double Wounds at night or in complete darkness.</t>
  </si>
  <si>
    <t>Raw physical power at the command of something whose only desire is destruction. This Monster could easily pick up and carry a horse, and perhaps more. Spend a Danger Point to double the number of Wounds dealt by the Monster after a successful attack against a Hero.</t>
  </si>
  <si>
    <t>The Monster heals quickly, and is even able to regenerate lost limbs. This Quality can only be applied to a Monster Villain. Spend a Danger Point to remove all Wounds in the current tier. Spend 2 Danger Points to remove 1 Dramatic Wound.</t>
  </si>
  <si>
    <t>Prey runs, and the predator gives chase. This Monster never gives up the hunt, and hiding from it is futile. It will find you. Any attempts to evade or escape from this Monster cost 2 Raises, instead of 1. Spend a Danger Point to have the Monster enter a Scene, so long as it is physically possible.</t>
  </si>
  <si>
    <t>Whether a natural hunter and predator, or a creature with some sort of magical affinity for darkness, this Monster prowls the shadows with unrivaled grace and stealth, striking when its unfortunate prey least suspects. Any attempts to locate or track this Monster cost 2 Raises, instead of 1.</t>
  </si>
  <si>
    <t>The best hunters never let their prey know they are being hunted until it is too late. This creature could be standing next to you, perhaps even speaking with you, and you might never know it. Spend a Danger Point to have this Monster assume a new form. The new form is completely indistinguishable from whatever it is mimicking, save for a specific thing that the GM determines. For example, a specific Monster may always have cat’s eyes or have a snake’s fangs.</t>
  </si>
  <si>
    <t>Faster than a speeding bullet—literally. This creature can move with such speed that the human eye can’t follow it, much less react in time. Spend a Danger Point to take an action immediately.</t>
  </si>
  <si>
    <t>Either by ripping a hole in reality in a similar manner as the Porte mages of Montaigne or by simply vanishing from sight to appear somewhere else, this Monster can move through space with the same effort that a man takes a breath. Spend a Danger Point to have the Monster escape or enter a scene, even if it would be otherwise impossible (such as a room with all doors and windows closed, a sealed underground vault, etc.).</t>
  </si>
  <si>
    <t>Perhaps a giant octopus or squid, or a more “ordinary” creature that has suffered at the hands of dark magic or forbidden scientific experimentation, this creature has powerful tentacles that make it a greater threat than it would otherwise be. For every 5 Strength, this creature has a Tentacle. Tentacles are always Strength 5 and can be destroyed by inflicting a single Dramatic Wound.</t>
  </si>
  <si>
    <t>Typically single-minded in the pursuit of slaughter and feeding their insatiable hunger, these walking corpses are unsettling to behold but not a significant threat alone. This Quality can only be applied to a Monster Squad. Spend 1 Danger Point at the end of a Round to return this Squad to full Strength.</t>
  </si>
  <si>
    <t>The Monster has potent venom and fangs that are good for applying it. Spend a Danger Point at the beginning of the Round. When the Monster deals damage, remove 1 Raise from the Monster’s target.</t>
  </si>
  <si>
    <t>This creature has a powerful set of wings that it uses to propel itself through the air, and typically prefers to strike at is prey from above. If this Monster is a Villain and has room to spread its wings and fly around, it rolls 5 additional dice on any Risk. After the Monster takes 2 Dramatic Wounds, it is too injured to fly and loses this bonus until it has time to recover. If this is a Monster Squad, any attempts to deal Wounds to them cost an additional Raise.</t>
  </si>
  <si>
    <t xml:space="preserve">Although not necessarily restricted to the water, you definitely feels at home there. Woe to any Hero who faces you beneath the waves. You roll 5 additional dice in any Risk you take while in water. </t>
  </si>
  <si>
    <t>You have a tough outer shell, such as scales or a hard insect-like exoskeleton. Spend a Danger Point to negate all Wounds dealt to you by a single attack.</t>
  </si>
  <si>
    <t>You are a creature of raw elemental might, such as a demon whose blood literally boils in her veins or a hungry ghost of winter who can freeze a man solid with a touch. Choose an element, such as fire, ice, lightning, etc.  When you are exposed to that element or use that element to attack the Heroes, you roll 5 additional dice in any Risk to do so. Any Wounds that would result from your element are ignored.</t>
  </si>
  <si>
    <t>You are terrifying to behold, much less face. You gain a Rank of Fear, plus an additional Rank of Fear per 5 Strength. Spend a Danger Point to double your Fear Rank for 1 Round.</t>
  </si>
  <si>
    <t>The night is dark and full of terrors. You are one of them. You rolls 5 additional dice in any Risk you take at night or in complete darkness (if you are trying to fight it inside a mine, for example).</t>
  </si>
  <si>
    <t>Raw physical power at the command of something whose only desire is destruction. You could easily pick up and carry a horse, and perhaps more. Spend a Danger Point to double the number of Wounds you deal after a successful attack against a Hero.</t>
  </si>
  <si>
    <t>You heal quickly, and are even able to regenerate lost limbs. Spend a Danger Point to remove all Wounds in the current tier. Spend 2 Danger Points to remove 1 Dramatic Wound.</t>
  </si>
  <si>
    <t>Prey runs, and the predator gives chase. You never give up the hunt, and hiding from you is futile. Any attempts to evade or escape you cost 2 Raises instead of 1. Spend a Danger Point to enter a Scene, so long as it is physically possible.</t>
  </si>
  <si>
    <t>Whether a natural hunter and predator, or a creature with some sort of magical affinity for darkness, you prowl the shadows with unrivaled grace and stealth, striking when your unfortunate prey least suspects. Any attempts to locate or track you cost 2 Raises, instead of 1.</t>
  </si>
  <si>
    <t>The best hunters never let their prey know they are being hunted until it is too late. You could be standing next to a target, perhaps even speaking with them, and they might never know it. Spend a Danger Point to assume a new form. The new form is completely indistinguishable from whatever you are mimicking, save for a specific thing that the GM determines. For example, you may always have cat’s eyes or have a snake’s fangs.</t>
  </si>
  <si>
    <t>Faster than a speeding bullet—literally. You can move with such speed that the human eye can’t follow it, much less react in time. Spend a Danger Point to take an action immediately.</t>
  </si>
  <si>
    <t>Either by ripping a hole in reality in a similar manner as the Porte mages of Montaigne or by simply vanishing from sight to appear somewhere else, you can move through space with the same effort that a man takes a breath. Spend a Danger Point to escape or enter a scene, even if it would be otherwise impossible (such as a room with all doors and windows closed, a sealed underground vault, etc.).</t>
  </si>
  <si>
    <t>Perhaps a giant octopus or squid, or a more “ordinary” creature that has suffered at the hands of dark magic or forbidden scientific experimentation, you have powerful tentacles that make you a greater threat than you would otherwise be. For every 5 Strength, you have a Tentacle. Tentacles are always Strength 5 and can be destroyed by inflicting a single Dramatic Wound.</t>
  </si>
  <si>
    <t>squad only</t>
  </si>
  <si>
    <t>You have potent venom and fangs that are good for applying it. Spend a Danger Point at the beginning of the Round. When you deal damage, remove 1 Raise from your target.</t>
  </si>
  <si>
    <t>You have a powerful set of wings that you use to propel yourself through the air, and typically prefer to strike at your prey from above. If you have room to spread your wings and fly around, you roll 5 additional dice on any Risk. After you take 2 Dramatic Wounds, you are too injured to fly and lose this bonus until you have time to recover.</t>
  </si>
  <si>
    <t>Monster Quality</t>
  </si>
  <si>
    <t>If a character has both Seidr and Dark Gift, the monster quality will not be shown on the print sheet.  I could do it, but I'm saving space against an unlikely scenario.</t>
  </si>
  <si>
    <t>1.2.0</t>
  </si>
  <si>
    <t>Added Nations of Theah One and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</si>
</sst>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
      <b/>
      <sz val="10"/>
      <color theme="1"/>
      <name val="Calibri"/>
      <family val="2"/>
      <scheme val="minor"/>
    </font>
  </fonts>
  <fills count="21">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rgb="FF7030A0"/>
        <bgColor indexed="64"/>
      </patternFill>
    </fill>
    <fill>
      <patternFill patternType="solid">
        <fgColor theme="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98">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7" fillId="0" borderId="0" xfId="0" applyFont="1"/>
    <xf numFmtId="0" fontId="7"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8"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9"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0" fillId="0" borderId="4" xfId="0"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20"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20"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1" xfId="0" applyFill="1" applyBorder="1" applyProtection="1"/>
    <xf numFmtId="0" fontId="0" fillId="2" borderId="22" xfId="0" applyFill="1" applyBorder="1" applyProtection="1"/>
    <xf numFmtId="0" fontId="0" fillId="2" borderId="23" xfId="0" applyFill="1" applyBorder="1" applyProtection="1"/>
    <xf numFmtId="0" fontId="0" fillId="2" borderId="0"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1" fillId="11" borderId="0" xfId="0" applyFont="1" applyFill="1" applyProtection="1"/>
    <xf numFmtId="0" fontId="12" fillId="11" borderId="0" xfId="0" applyFont="1" applyFill="1" applyProtection="1"/>
    <xf numFmtId="0" fontId="12" fillId="11" borderId="0" xfId="0" applyFont="1" applyFill="1" applyAlignment="1" applyProtection="1">
      <alignment wrapText="1"/>
    </xf>
    <xf numFmtId="0" fontId="12" fillId="11" borderId="0" xfId="0" applyFont="1" applyFill="1" applyAlignment="1" applyProtection="1">
      <alignment horizontal="center"/>
    </xf>
    <xf numFmtId="0" fontId="13" fillId="11" borderId="0" xfId="0" applyFont="1" applyFill="1" applyAlignment="1" applyProtection="1">
      <alignment horizontal="center"/>
    </xf>
    <xf numFmtId="0" fontId="12" fillId="11" borderId="0" xfId="0" applyFont="1" applyFill="1" applyAlignment="1" applyProtection="1">
      <alignment horizontal="right"/>
    </xf>
    <xf numFmtId="0" fontId="13" fillId="11" borderId="0" xfId="0" applyFont="1" applyFill="1" applyProtection="1"/>
    <xf numFmtId="0" fontId="12" fillId="11" borderId="0" xfId="0" applyFont="1" applyFill="1" applyBorder="1" applyProtection="1"/>
    <xf numFmtId="0" fontId="0" fillId="11" borderId="0" xfId="0" applyFill="1" applyBorder="1"/>
    <xf numFmtId="0" fontId="0" fillId="0" borderId="0" xfId="0" applyAlignment="1">
      <alignment shrinkToFit="1"/>
    </xf>
    <xf numFmtId="0" fontId="12"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4" fillId="12" borderId="0" xfId="0" applyFont="1" applyFill="1" applyAlignment="1">
      <alignment horizontal="center" shrinkToFit="1"/>
    </xf>
    <xf numFmtId="0" fontId="4" fillId="0" borderId="0" xfId="0" applyFont="1" applyAlignment="1">
      <alignment horizontal="center" vertical="center" shrinkToFit="1"/>
    </xf>
    <xf numFmtId="0" fontId="10" fillId="0" borderId="0" xfId="0" applyFont="1" applyAlignment="1">
      <alignment horizontal="right" vertical="center"/>
    </xf>
    <xf numFmtId="0" fontId="0" fillId="0" borderId="0" xfId="0" applyAlignment="1"/>
    <xf numFmtId="0" fontId="4" fillId="0" borderId="0" xfId="0" applyFont="1" applyAlignment="1"/>
    <xf numFmtId="0" fontId="14" fillId="0" borderId="0" xfId="0" applyFont="1" applyFill="1" applyAlignment="1">
      <alignment horizontal="center" shrinkToFit="1"/>
    </xf>
    <xf numFmtId="0" fontId="6" fillId="2" borderId="0" xfId="0" applyFont="1" applyFill="1" applyAlignment="1" applyProtection="1">
      <alignment horizontal="right"/>
    </xf>
    <xf numFmtId="0" fontId="0" fillId="2" borderId="0" xfId="0" applyFill="1" applyProtection="1"/>
    <xf numFmtId="0" fontId="12" fillId="11" borderId="0" xfId="0" applyFont="1" applyFill="1" applyProtection="1"/>
    <xf numFmtId="0" fontId="0" fillId="0" borderId="0" xfId="0"/>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Alignment="1">
      <alignment shrinkToFit="1"/>
    </xf>
    <xf numFmtId="0" fontId="0" fillId="0" borderId="0" xfId="0"/>
    <xf numFmtId="0" fontId="0" fillId="0" borderId="0" xfId="0" quotePrefix="1" applyAlignment="1" applyProtection="1">
      <alignment horizontal="right"/>
    </xf>
    <xf numFmtId="0" fontId="0" fillId="8" borderId="0" xfId="0" applyFill="1" applyProtection="1"/>
    <xf numFmtId="0" fontId="0" fillId="14" borderId="0" xfId="0" applyFill="1" applyProtection="1"/>
    <xf numFmtId="0" fontId="0" fillId="0" borderId="6" xfId="0" applyBorder="1" applyAlignment="1">
      <alignment horizontal="left" shrinkToFit="1"/>
    </xf>
    <xf numFmtId="0" fontId="0" fillId="0" borderId="8" xfId="0" applyBorder="1" applyAlignment="1">
      <alignment horizontal="left" shrinkToFit="1"/>
    </xf>
    <xf numFmtId="0" fontId="1" fillId="14" borderId="0" xfId="0" applyFont="1" applyFill="1" applyProtection="1"/>
    <xf numFmtId="0" fontId="1" fillId="8" borderId="0" xfId="0" applyFont="1" applyFill="1" applyProtection="1"/>
    <xf numFmtId="0" fontId="0" fillId="9" borderId="10" xfId="0" applyFill="1" applyBorder="1"/>
    <xf numFmtId="0" fontId="0" fillId="0" borderId="0" xfId="0" quotePrefix="1" applyBorder="1"/>
    <xf numFmtId="0" fontId="9" fillId="13" borderId="0" xfId="0" applyFont="1" applyFill="1" applyAlignment="1">
      <alignment shrinkToFit="1"/>
    </xf>
    <xf numFmtId="0" fontId="9" fillId="0" borderId="0" xfId="0" applyFont="1" applyAlignment="1">
      <alignment shrinkToFit="1"/>
    </xf>
    <xf numFmtId="0" fontId="0" fillId="0" borderId="0" xfId="0" quotePrefix="1"/>
    <xf numFmtId="0" fontId="16" fillId="16" borderId="0" xfId="0" applyFont="1" applyFill="1" applyAlignment="1">
      <alignment shrinkToFit="1"/>
    </xf>
    <xf numFmtId="0" fontId="7" fillId="0" borderId="0" xfId="0" applyFont="1" applyAlignment="1">
      <alignment shrinkToFit="1"/>
    </xf>
    <xf numFmtId="0" fontId="7" fillId="0" borderId="0" xfId="0" applyFont="1" applyAlignment="1">
      <alignment vertical="top" shrinkToFit="1"/>
    </xf>
    <xf numFmtId="0" fontId="0" fillId="0" borderId="0" xfId="0"/>
    <xf numFmtId="0" fontId="1" fillId="14" borderId="0" xfId="0" applyFont="1" applyFill="1" applyAlignment="1" applyProtection="1">
      <alignment horizontal="center"/>
    </xf>
    <xf numFmtId="0" fontId="0" fillId="2" borderId="0" xfId="0" applyFill="1"/>
    <xf numFmtId="0" fontId="0" fillId="2" borderId="0" xfId="0" applyFill="1" applyBorder="1" applyAlignment="1" applyProtection="1">
      <alignment horizontal="left"/>
    </xf>
    <xf numFmtId="0" fontId="0" fillId="2" borderId="0" xfId="0" applyFill="1" applyProtection="1"/>
    <xf numFmtId="0" fontId="0" fillId="2" borderId="0" xfId="0" applyFill="1" applyBorder="1" applyProtection="1"/>
    <xf numFmtId="0" fontId="0" fillId="0" borderId="0" xfId="0" applyAlignment="1">
      <alignment horizontal="center"/>
    </xf>
    <xf numFmtId="0" fontId="0" fillId="0" borderId="0" xfId="0"/>
    <xf numFmtId="0" fontId="0" fillId="0" borderId="7" xfId="0" applyFill="1" applyBorder="1"/>
    <xf numFmtId="0" fontId="0" fillId="0" borderId="0" xfId="0" applyFill="1" applyBorder="1"/>
    <xf numFmtId="0" fontId="0" fillId="0" borderId="9" xfId="0" applyFill="1" applyBorder="1"/>
    <xf numFmtId="0" fontId="0" fillId="0" borderId="10" xfId="0" applyFill="1" applyBorder="1"/>
    <xf numFmtId="0" fontId="0" fillId="0" borderId="5" xfId="0" applyFill="1" applyBorder="1"/>
    <xf numFmtId="0" fontId="0" fillId="0" borderId="4" xfId="0" applyBorder="1"/>
    <xf numFmtId="0" fontId="0" fillId="0" borderId="6" xfId="0" applyBorder="1"/>
    <xf numFmtId="0" fontId="0" fillId="0" borderId="9" xfId="0" applyBorder="1"/>
    <xf numFmtId="0" fontId="0" fillId="0" borderId="11" xfId="0" applyBorder="1"/>
    <xf numFmtId="0" fontId="0" fillId="17" borderId="7" xfId="0" applyFill="1" applyBorder="1" applyProtection="1"/>
    <xf numFmtId="0" fontId="0" fillId="17" borderId="13" xfId="0" applyFill="1" applyBorder="1" applyProtection="1"/>
    <xf numFmtId="0" fontId="0" fillId="17" borderId="0" xfId="0" applyFill="1" applyBorder="1" applyProtection="1"/>
    <xf numFmtId="0" fontId="0" fillId="0" borderId="0" xfId="0"/>
    <xf numFmtId="0" fontId="0" fillId="18" borderId="8" xfId="0" applyFill="1" applyBorder="1" applyProtection="1"/>
    <xf numFmtId="0" fontId="0" fillId="17" borderId="0" xfId="0" applyFill="1" applyProtection="1"/>
    <xf numFmtId="0" fontId="11" fillId="0" borderId="1" xfId="0" applyFont="1" applyFill="1" applyBorder="1" applyAlignment="1" applyProtection="1">
      <alignment horizontal="center"/>
      <protection locked="0"/>
    </xf>
    <xf numFmtId="0" fontId="0" fillId="17" borderId="0" xfId="0" applyFill="1"/>
    <xf numFmtId="0" fontId="0" fillId="9" borderId="0" xfId="0" applyFill="1"/>
    <xf numFmtId="0" fontId="0" fillId="9" borderId="13" xfId="0" quotePrefix="1" applyFill="1" applyBorder="1" applyProtection="1"/>
    <xf numFmtId="0" fontId="1" fillId="2" borderId="0" xfId="0" applyFont="1" applyFill="1" applyAlignment="1" applyProtection="1">
      <alignment horizontal="right"/>
    </xf>
    <xf numFmtId="0" fontId="0" fillId="0" borderId="1" xfId="0" applyFill="1" applyBorder="1" applyProtection="1"/>
    <xf numFmtId="0" fontId="0" fillId="0" borderId="8" xfId="0" applyFill="1" applyBorder="1"/>
    <xf numFmtId="0" fontId="0" fillId="2" borderId="18" xfId="0" applyFill="1" applyBorder="1" applyAlignment="1" applyProtection="1">
      <alignment horizontal="right"/>
    </xf>
    <xf numFmtId="0" fontId="11" fillId="0" borderId="28" xfId="0" applyFont="1" applyFill="1" applyBorder="1" applyAlignment="1" applyProtection="1">
      <alignment horizontal="center"/>
      <protection locked="0"/>
    </xf>
    <xf numFmtId="0" fontId="0" fillId="0" borderId="6" xfId="0" applyFill="1" applyBorder="1"/>
    <xf numFmtId="0" fontId="0" fillId="0" borderId="0" xfId="0" applyBorder="1"/>
    <xf numFmtId="0" fontId="0" fillId="0" borderId="0" xfId="0" applyFill="1" applyBorder="1"/>
    <xf numFmtId="0" fontId="0" fillId="0" borderId="11" xfId="0" applyBorder="1"/>
    <xf numFmtId="0" fontId="0" fillId="19" borderId="7" xfId="0" applyFill="1" applyBorder="1" applyProtection="1"/>
    <xf numFmtId="0" fontId="0" fillId="19" borderId="0" xfId="0" applyFill="1"/>
    <xf numFmtId="0" fontId="0" fillId="19" borderId="0" xfId="0" applyFill="1" applyBorder="1" applyProtection="1"/>
    <xf numFmtId="0" fontId="1" fillId="17" borderId="7" xfId="0" applyFont="1" applyFill="1" applyBorder="1" applyProtection="1"/>
    <xf numFmtId="0" fontId="0" fillId="12" borderId="8" xfId="0" applyFill="1" applyBorder="1" applyProtection="1"/>
    <xf numFmtId="0" fontId="0" fillId="0" borderId="0" xfId="0"/>
    <xf numFmtId="0" fontId="0" fillId="0" borderId="0" xfId="0" applyFill="1" applyBorder="1"/>
    <xf numFmtId="0" fontId="0" fillId="0" borderId="0" xfId="0" applyAlignment="1">
      <alignment horizontal="left"/>
    </xf>
    <xf numFmtId="0" fontId="0" fillId="0" borderId="0" xfId="0" applyFill="1" applyBorder="1"/>
    <xf numFmtId="0" fontId="0" fillId="0" borderId="9" xfId="0" applyBorder="1"/>
    <xf numFmtId="0" fontId="0" fillId="0" borderId="11" xfId="0" applyBorder="1"/>
    <xf numFmtId="0" fontId="0" fillId="0" borderId="0" xfId="0" applyBorder="1"/>
    <xf numFmtId="0" fontId="0" fillId="0" borderId="0" xfId="0"/>
    <xf numFmtId="0" fontId="0" fillId="17" borderId="13" xfId="0" applyFill="1" applyBorder="1"/>
    <xf numFmtId="0" fontId="0" fillId="0" borderId="4" xfId="0" applyFill="1" applyBorder="1" applyProtection="1"/>
    <xf numFmtId="0" fontId="0" fillId="0" borderId="6" xfId="0" applyFill="1" applyBorder="1" applyProtection="1"/>
    <xf numFmtId="0" fontId="0" fillId="0" borderId="0" xfId="0" applyFill="1" applyBorder="1" applyAlignment="1">
      <alignment horizontal="right"/>
    </xf>
    <xf numFmtId="0" fontId="12" fillId="11" borderId="0" xfId="0" applyFont="1" applyFill="1" applyProtection="1"/>
    <xf numFmtId="0" fontId="0" fillId="2" borderId="0" xfId="0" applyFill="1" applyProtection="1"/>
    <xf numFmtId="0" fontId="0" fillId="0" borderId="0" xfId="0" applyAlignment="1">
      <alignment horizontal="left"/>
    </xf>
    <xf numFmtId="0" fontId="0" fillId="0" borderId="0" xfId="0"/>
    <xf numFmtId="0" fontId="0" fillId="2" borderId="0" xfId="0" applyFill="1" applyProtection="1"/>
    <xf numFmtId="0" fontId="0" fillId="2" borderId="0" xfId="0" applyFill="1" applyAlignment="1" applyProtection="1">
      <alignment horizontal="right"/>
    </xf>
    <xf numFmtId="0" fontId="0" fillId="0" borderId="0" xfId="0" applyAlignment="1">
      <alignment horizontal="left"/>
    </xf>
    <xf numFmtId="0" fontId="0" fillId="0" borderId="15" xfId="0" applyBorder="1"/>
    <xf numFmtId="0" fontId="0" fillId="0" borderId="0" xfId="0"/>
    <xf numFmtId="0" fontId="0" fillId="20" borderId="7" xfId="0" applyFill="1" applyBorder="1" applyProtection="1"/>
    <xf numFmtId="0" fontId="0" fillId="20" borderId="0" xfId="0" applyFill="1" applyBorder="1" applyProtection="1"/>
    <xf numFmtId="0" fontId="0" fillId="20" borderId="8" xfId="0" applyFill="1" applyBorder="1" applyProtection="1"/>
    <xf numFmtId="0" fontId="0" fillId="20" borderId="9" xfId="0" applyFill="1" applyBorder="1" applyProtection="1"/>
    <xf numFmtId="0" fontId="0" fillId="20" borderId="0" xfId="0" applyFill="1"/>
    <xf numFmtId="0" fontId="0" fillId="2" borderId="0" xfId="0" applyFill="1"/>
    <xf numFmtId="0" fontId="0" fillId="20" borderId="13" xfId="0" applyFill="1" applyBorder="1" applyProtection="1"/>
    <xf numFmtId="0" fontId="0" fillId="20" borderId="14" xfId="0" applyFill="1" applyBorder="1" applyProtection="1"/>
    <xf numFmtId="0" fontId="0" fillId="20" borderId="13" xfId="0" applyFill="1" applyBorder="1"/>
    <xf numFmtId="0" fontId="0" fillId="20" borderId="6" xfId="0" applyFill="1" applyBorder="1" applyProtection="1"/>
    <xf numFmtId="0" fontId="1" fillId="20" borderId="0" xfId="0" applyFont="1" applyFill="1" applyBorder="1"/>
    <xf numFmtId="0" fontId="0" fillId="20" borderId="0" xfId="0" applyFill="1" applyBorder="1"/>
    <xf numFmtId="0" fontId="1" fillId="20" borderId="4" xfId="0" applyFont="1" applyFill="1" applyBorder="1"/>
    <xf numFmtId="0" fontId="0" fillId="20" borderId="6" xfId="0" applyFill="1" applyBorder="1"/>
    <xf numFmtId="0" fontId="0" fillId="20" borderId="7" xfId="0" applyFill="1" applyBorder="1"/>
    <xf numFmtId="0" fontId="0" fillId="20" borderId="8" xfId="0" applyFill="1" applyBorder="1"/>
    <xf numFmtId="0" fontId="0" fillId="20" borderId="9" xfId="0" applyFill="1" applyBorder="1"/>
    <xf numFmtId="0" fontId="0" fillId="20" borderId="11" xfId="0" applyFill="1" applyBorder="1"/>
    <xf numFmtId="0" fontId="0" fillId="20" borderId="10" xfId="0" applyFill="1" applyBorder="1"/>
    <xf numFmtId="0" fontId="1" fillId="20" borderId="5" xfId="0" applyFont="1" applyFill="1" applyBorder="1"/>
    <xf numFmtId="0" fontId="1" fillId="20" borderId="6" xfId="0" applyFont="1" applyFill="1" applyBorder="1"/>
    <xf numFmtId="0" fontId="0" fillId="0" borderId="0" xfId="0" applyFill="1"/>
    <xf numFmtId="0" fontId="0" fillId="0" borderId="10" xfId="0" applyFill="1" applyBorder="1" applyProtection="1"/>
    <xf numFmtId="0" fontId="0" fillId="0" borderId="11" xfId="0" applyFill="1" applyBorder="1" applyProtection="1"/>
    <xf numFmtId="0" fontId="0" fillId="2" borderId="0" xfId="0" applyFill="1" applyAlignment="1">
      <alignment wrapText="1"/>
    </xf>
    <xf numFmtId="0" fontId="0" fillId="2" borderId="0" xfId="0" applyFill="1"/>
    <xf numFmtId="0" fontId="1" fillId="2" borderId="0" xfId="0" applyFont="1" applyFill="1"/>
    <xf numFmtId="0" fontId="12" fillId="11" borderId="0" xfId="0" applyFont="1" applyFill="1" applyBorder="1" applyAlignment="1" applyProtection="1">
      <alignment horizontal="left"/>
      <protection locked="0"/>
    </xf>
    <xf numFmtId="0" fontId="12" fillId="11" borderId="0" xfId="0" applyFont="1" applyFill="1" applyAlignment="1" applyProtection="1">
      <alignment horizontal="left"/>
    </xf>
    <xf numFmtId="0" fontId="12" fillId="11" borderId="0" xfId="0" applyFont="1" applyFill="1" applyProtection="1"/>
    <xf numFmtId="0" fontId="12" fillId="11" borderId="0" xfId="0" applyFont="1" applyFill="1" applyAlignment="1" applyProtection="1">
      <alignment wrapText="1"/>
    </xf>
    <xf numFmtId="0" fontId="11" fillId="0" borderId="2" xfId="0" applyFont="1" applyFill="1" applyBorder="1" applyAlignment="1" applyProtection="1">
      <alignment horizontal="center"/>
      <protection locked="0"/>
    </xf>
    <xf numFmtId="0" fontId="11" fillId="0" borderId="3" xfId="0" applyFont="1" applyFill="1" applyBorder="1" applyAlignment="1" applyProtection="1">
      <alignment horizontal="center"/>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Protection="1"/>
    <xf numFmtId="0" fontId="0" fillId="2" borderId="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2" borderId="0" xfId="0" applyFill="1" applyAlignment="1" applyProtection="1">
      <alignment wrapText="1"/>
    </xf>
    <xf numFmtId="0" fontId="0" fillId="2" borderId="0" xfId="0" applyFill="1" applyBorder="1" applyProtection="1">
      <protection locked="0"/>
    </xf>
    <xf numFmtId="0" fontId="0" fillId="2" borderId="0" xfId="0" applyFill="1" applyBorder="1" applyAlignment="1" applyProtection="1">
      <alignment shrinkToFit="1"/>
    </xf>
    <xf numFmtId="0" fontId="0" fillId="2" borderId="0" xfId="0" applyFill="1" applyBorder="1" applyAlignment="1" applyProtection="1">
      <alignment horizontal="left"/>
    </xf>
    <xf numFmtId="0" fontId="0" fillId="15" borderId="0" xfId="0" applyFill="1" applyAlignment="1" applyProtection="1">
      <alignment vertical="top" wrapText="1" shrinkToFit="1"/>
    </xf>
    <xf numFmtId="0" fontId="0" fillId="2" borderId="0" xfId="0" applyFill="1" applyAlignment="1" applyProtection="1">
      <alignment horizontal="left" vertical="top" wrapText="1"/>
    </xf>
    <xf numFmtId="0" fontId="0" fillId="8" borderId="0" xfId="0" applyFill="1" applyAlignment="1" applyProtection="1">
      <alignment vertical="top" wrapText="1"/>
    </xf>
    <xf numFmtId="0" fontId="0" fillId="2" borderId="0" xfId="0" applyFill="1" applyAlignment="1" applyProtection="1">
      <alignment horizontal="center"/>
    </xf>
    <xf numFmtId="0" fontId="0" fillId="2" borderId="0" xfId="0" applyFill="1" applyAlignment="1" applyProtection="1">
      <alignment vertical="top" wrapText="1"/>
    </xf>
    <xf numFmtId="0" fontId="0" fillId="15" borderId="0" xfId="0" applyFill="1" applyAlignment="1" applyProtection="1">
      <alignment vertical="top" shrinkToFit="1"/>
    </xf>
    <xf numFmtId="0" fontId="0" fillId="2" borderId="20" xfId="0" applyFill="1" applyBorder="1" applyAlignment="1" applyProtection="1">
      <alignment shrinkToFit="1"/>
    </xf>
    <xf numFmtId="0" fontId="12" fillId="11" borderId="0" xfId="0" applyFont="1" applyFill="1" applyBorder="1" applyProtection="1">
      <protection locked="0"/>
    </xf>
    <xf numFmtId="0" fontId="0" fillId="14" borderId="0" xfId="0" applyFill="1" applyProtection="1"/>
    <xf numFmtId="0" fontId="1" fillId="14" borderId="0" xfId="0" applyFont="1" applyFill="1" applyProtection="1"/>
    <xf numFmtId="0" fontId="0" fillId="2" borderId="0" xfId="0" applyFill="1" applyAlignment="1" applyProtection="1">
      <alignment horizontal="right"/>
    </xf>
    <xf numFmtId="0" fontId="0" fillId="2" borderId="0" xfId="0" applyFill="1" applyBorder="1" applyAlignment="1" applyProtection="1">
      <alignment horizontal="center" shrinkToFit="1"/>
    </xf>
    <xf numFmtId="0" fontId="0" fillId="2" borderId="18" xfId="0" applyFill="1" applyBorder="1" applyAlignment="1" applyProtection="1">
      <alignment horizontal="right"/>
    </xf>
    <xf numFmtId="0" fontId="0" fillId="2" borderId="27" xfId="0" applyFill="1" applyBorder="1" applyAlignment="1" applyProtection="1">
      <alignment horizontal="right"/>
    </xf>
    <xf numFmtId="0" fontId="0" fillId="14" borderId="0" xfId="0" applyFill="1" applyAlignment="1" applyProtection="1">
      <alignment vertical="top" wrapText="1"/>
    </xf>
    <xf numFmtId="0" fontId="1" fillId="14" borderId="0" xfId="0" applyFont="1" applyFill="1" applyAlignment="1" applyProtection="1">
      <alignment horizontal="left"/>
    </xf>
    <xf numFmtId="0" fontId="12" fillId="11" borderId="0" xfId="0" applyFont="1" applyFill="1" applyAlignment="1" applyProtection="1">
      <alignment horizontal="right"/>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2" borderId="4" xfId="0" applyFill="1" applyBorder="1"/>
    <xf numFmtId="0" fontId="0" fillId="2" borderId="5" xfId="0" applyFill="1" applyBorder="1"/>
    <xf numFmtId="0" fontId="7" fillId="0" borderId="0" xfId="0" applyFont="1" applyAlignment="1">
      <alignment horizontal="left" vertical="top" wrapText="1"/>
    </xf>
    <xf numFmtId="0" fontId="0" fillId="0" borderId="0" xfId="0" applyAlignment="1">
      <alignment horizontal="left"/>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7"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22" fontId="0" fillId="0" borderId="0" xfId="0" applyNumberFormat="1"/>
    <xf numFmtId="0" fontId="1" fillId="0" borderId="0" xfId="0" applyFont="1" applyAlignment="1">
      <alignment horizontal="center"/>
    </xf>
    <xf numFmtId="0" fontId="0" fillId="0" borderId="7" xfId="0" applyFill="1"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0" fillId="0" borderId="9" xfId="0" applyBorder="1"/>
    <xf numFmtId="0" fontId="0" fillId="0" borderId="11" xfId="0" applyBorder="1"/>
    <xf numFmtId="0" fontId="0" fillId="0" borderId="10" xfId="0" applyFill="1" applyBorder="1"/>
    <xf numFmtId="0" fontId="0" fillId="0" borderId="4" xfId="0" applyFill="1" applyBorder="1"/>
    <xf numFmtId="0" fontId="0" fillId="0" borderId="5" xfId="0" applyFill="1" applyBorder="1"/>
    <xf numFmtId="0" fontId="0" fillId="0" borderId="9" xfId="0" applyFill="1" applyBorder="1"/>
    <xf numFmtId="0" fontId="9" fillId="0" borderId="0" xfId="0" applyFont="1" applyBorder="1" applyAlignment="1">
      <alignment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0" xfId="0" applyAlignment="1">
      <alignment shrinkToFit="1"/>
    </xf>
    <xf numFmtId="0" fontId="0" fillId="0" borderId="15" xfId="0" applyBorder="1"/>
    <xf numFmtId="0" fontId="0" fillId="2" borderId="0" xfId="0" applyFill="1" applyBorder="1"/>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5" fillId="0" borderId="0" xfId="0" applyFont="1"/>
    <xf numFmtId="0" fontId="0" fillId="0" borderId="0" xfId="0" applyBorder="1"/>
    <xf numFmtId="0" fontId="0" fillId="0" borderId="0" xfId="0" applyAlignment="1">
      <alignment horizontal="center"/>
    </xf>
    <xf numFmtId="0" fontId="0" fillId="2" borderId="7" xfId="0" applyFill="1" applyBorder="1"/>
    <xf numFmtId="0" fontId="0" fillId="0" borderId="15" xfId="0" applyBorder="1" applyAlignment="1">
      <alignment horizontal="right"/>
    </xf>
    <xf numFmtId="0" fontId="0" fillId="0" borderId="0" xfId="0"/>
    <xf numFmtId="22" fontId="0" fillId="0" borderId="0" xfId="0" applyNumberFormat="1" applyAlignment="1">
      <alignment horizontal="right"/>
    </xf>
    <xf numFmtId="0" fontId="0" fillId="0" borderId="0" xfId="0" applyAlignment="1">
      <alignment horizontal="center" shrinkToFit="1"/>
    </xf>
    <xf numFmtId="0" fontId="10" fillId="0" borderId="0" xfId="0" applyFont="1" applyAlignment="1">
      <alignment horizontal="right" vertical="center"/>
    </xf>
    <xf numFmtId="0" fontId="0" fillId="0" borderId="8" xfId="0" applyBorder="1" applyAlignment="1">
      <alignment horizontal="right" vertical="center" shrinkToFit="1"/>
    </xf>
    <xf numFmtId="0" fontId="0" fillId="0" borderId="7" xfId="0" applyBorder="1" applyAlignment="1">
      <alignment vertical="center" shrinkToFit="1"/>
    </xf>
    <xf numFmtId="0" fontId="0" fillId="0" borderId="0" xfId="0" applyBorder="1" applyAlignment="1">
      <alignment horizontal="right" vertical="center" shrinkToFit="1"/>
    </xf>
    <xf numFmtId="0" fontId="2" fillId="0" borderId="0" xfId="0" applyFont="1" applyAlignment="1">
      <alignment vertical="center" wrapText="1" shrinkToFit="1"/>
    </xf>
    <xf numFmtId="0" fontId="10" fillId="0" borderId="0" xfId="0" applyFont="1" applyAlignment="1">
      <alignment horizontal="right" vertical="center" shrinkToFit="1"/>
    </xf>
    <xf numFmtId="0" fontId="14" fillId="12" borderId="0" xfId="0" applyFont="1" applyFill="1" applyAlignment="1">
      <alignment horizontal="center" shrinkToFit="1"/>
    </xf>
    <xf numFmtId="0" fontId="0" fillId="0" borderId="0" xfId="0" applyAlignment="1">
      <alignment horizontal="right" vertical="center" shrinkToFit="1"/>
    </xf>
    <xf numFmtId="0" fontId="15" fillId="0" borderId="0" xfId="0" applyFont="1" applyAlignment="1">
      <alignment horizontal="left" vertical="top" wrapText="1" shrinkToFit="1"/>
    </xf>
    <xf numFmtId="0" fontId="0" fillId="0" borderId="0" xfId="0" applyAlignment="1">
      <alignment horizontal="left" shrinkToFit="1"/>
    </xf>
    <xf numFmtId="0" fontId="0" fillId="0" borderId="7" xfId="0" applyBorder="1" applyAlignment="1">
      <alignment horizontal="left" vertical="center" shrinkToFit="1"/>
    </xf>
    <xf numFmtId="0" fontId="7" fillId="0" borderId="0" xfId="0" applyFont="1" applyAlignment="1">
      <alignment vertical="top" wrapText="1"/>
    </xf>
    <xf numFmtId="0" fontId="7" fillId="0" borderId="0" xfId="0" applyFont="1" applyAlignment="1">
      <alignment shrinkToFit="1"/>
    </xf>
    <xf numFmtId="0" fontId="0" fillId="20" borderId="10" xfId="0" applyFill="1" applyBorder="1" applyProtection="1"/>
    <xf numFmtId="0" fontId="0" fillId="0" borderId="0" xfId="0" applyFill="1" applyProtection="1"/>
    <xf numFmtId="0" fontId="0" fillId="2" borderId="0" xfId="0" applyFill="1" applyAlignment="1">
      <alignment horizontal="left" wrapText="1"/>
    </xf>
  </cellXfs>
  <cellStyles count="2">
    <cellStyle name="Hyperlink" xfId="1" builtinId="8"/>
    <cellStyle name="Normal" xfId="0" builtinId="0"/>
  </cellStyles>
  <dxfs count="228">
    <dxf>
      <font>
        <b/>
        <i val="0"/>
      </font>
      <fill>
        <patternFill>
          <bgColor theme="5" tint="0.59996337778862885"/>
        </patternFill>
      </fill>
    </dxf>
    <dxf>
      <font>
        <b/>
        <i val="0"/>
      </font>
      <fill>
        <patternFill>
          <bgColor theme="5" tint="0.59996337778862885"/>
        </patternFill>
      </fill>
    </dxf>
    <dxf>
      <font>
        <color theme="0"/>
      </font>
    </dxf>
    <dxf>
      <font>
        <color theme="0"/>
      </font>
    </dxf>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ont>
        <color auto="1"/>
      </font>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workbookViewId="0">
      <selection sqref="A1:C1"/>
    </sheetView>
    <sheetView tabSelected="1" topLeftCell="A10" workbookViewId="1">
      <selection activeCell="A34" sqref="A34"/>
    </sheetView>
    <sheetView workbookViewId="2">
      <selection sqref="A1:C1"/>
    </sheetView>
  </sheetViews>
  <sheetFormatPr defaultRowHeight="15" x14ac:dyDescent="0.25"/>
  <cols>
    <col min="1" max="1" width="9.140625" style="33"/>
    <col min="2" max="2" width="10.42578125" style="33" customWidth="1"/>
    <col min="3" max="3" width="52.85546875" style="33" customWidth="1"/>
    <col min="4" max="16384" width="9.140625" style="33"/>
  </cols>
  <sheetData>
    <row r="1" spans="1:3" x14ac:dyDescent="0.25">
      <c r="A1" s="273" t="s">
        <v>570</v>
      </c>
      <c r="B1" s="273"/>
      <c r="C1" s="273"/>
    </row>
    <row r="2" spans="1:3" x14ac:dyDescent="0.25">
      <c r="A2" s="49" t="s">
        <v>581</v>
      </c>
      <c r="B2" s="2"/>
      <c r="C2" s="2"/>
    </row>
    <row r="3" spans="1:3" x14ac:dyDescent="0.25">
      <c r="A3" s="272" t="s">
        <v>1406</v>
      </c>
      <c r="B3" s="272"/>
      <c r="C3" s="272"/>
    </row>
    <row r="4" spans="1:3" x14ac:dyDescent="0.25">
      <c r="A4" s="272" t="s">
        <v>1407</v>
      </c>
      <c r="B4" s="272"/>
      <c r="C4" s="272"/>
    </row>
    <row r="5" spans="1:3" x14ac:dyDescent="0.25">
      <c r="A5" s="272"/>
      <c r="B5" s="272"/>
      <c r="C5" s="272"/>
    </row>
    <row r="6" spans="1:3" ht="46.5" customHeight="1" x14ac:dyDescent="0.25">
      <c r="A6" s="271" t="s">
        <v>571</v>
      </c>
      <c r="B6" s="271"/>
      <c r="C6" s="271"/>
    </row>
    <row r="7" spans="1:3" x14ac:dyDescent="0.25">
      <c r="A7" s="272"/>
      <c r="B7" s="272"/>
      <c r="C7" s="272"/>
    </row>
    <row r="8" spans="1:3" ht="61.5" customHeight="1" x14ac:dyDescent="0.25">
      <c r="A8" s="271" t="s">
        <v>573</v>
      </c>
      <c r="B8" s="271"/>
      <c r="C8" s="271"/>
    </row>
    <row r="9" spans="1:3" ht="48.75" customHeight="1" x14ac:dyDescent="0.25">
      <c r="A9" s="271" t="s">
        <v>572</v>
      </c>
      <c r="B9" s="271"/>
      <c r="C9" s="271"/>
    </row>
    <row r="10" spans="1:3" x14ac:dyDescent="0.25">
      <c r="A10" s="272"/>
      <c r="B10" s="272"/>
      <c r="C10" s="272"/>
    </row>
    <row r="11" spans="1:3" s="187" customFormat="1" x14ac:dyDescent="0.25">
      <c r="A11" s="187" t="s">
        <v>1238</v>
      </c>
    </row>
    <row r="12" spans="1:3" s="187" customFormat="1" x14ac:dyDescent="0.25"/>
    <row r="13" spans="1:3" ht="79.5" customHeight="1" x14ac:dyDescent="0.25">
      <c r="A13" s="271" t="s">
        <v>574</v>
      </c>
      <c r="B13" s="271"/>
      <c r="C13" s="271"/>
    </row>
    <row r="14" spans="1:3" x14ac:dyDescent="0.25">
      <c r="A14" s="272"/>
      <c r="B14" s="272"/>
      <c r="C14" s="272"/>
    </row>
    <row r="15" spans="1:3" ht="77.25" customHeight="1" x14ac:dyDescent="0.25">
      <c r="A15" s="271" t="s">
        <v>1019</v>
      </c>
      <c r="B15" s="271"/>
      <c r="C15" s="271"/>
    </row>
    <row r="16" spans="1:3" x14ac:dyDescent="0.25">
      <c r="A16" s="272"/>
      <c r="B16" s="272"/>
      <c r="C16" s="272"/>
    </row>
    <row r="17" spans="1:3" ht="29.25" customHeight="1" x14ac:dyDescent="0.25">
      <c r="A17" s="271" t="s">
        <v>1020</v>
      </c>
      <c r="B17" s="271"/>
      <c r="C17" s="271"/>
    </row>
    <row r="18" spans="1:3" x14ac:dyDescent="0.25">
      <c r="A18" s="271" t="s">
        <v>1021</v>
      </c>
      <c r="B18" s="271"/>
      <c r="C18" s="271"/>
    </row>
    <row r="19" spans="1:3" x14ac:dyDescent="0.25">
      <c r="A19" s="271"/>
      <c r="B19" s="271"/>
      <c r="C19" s="271"/>
    </row>
    <row r="21" spans="1:3" s="252" customFormat="1" ht="31.5" customHeight="1" x14ac:dyDescent="0.25">
      <c r="A21" s="397" t="s">
        <v>1900</v>
      </c>
      <c r="B21" s="397"/>
      <c r="C21" s="397"/>
    </row>
    <row r="23" spans="1:3" x14ac:dyDescent="0.25">
      <c r="A23" s="33" t="s">
        <v>575</v>
      </c>
    </row>
    <row r="24" spans="1:3" x14ac:dyDescent="0.25">
      <c r="A24" s="47">
        <v>1</v>
      </c>
      <c r="B24" s="48">
        <v>42536</v>
      </c>
      <c r="C24" s="33" t="s">
        <v>577</v>
      </c>
    </row>
    <row r="25" spans="1:3" x14ac:dyDescent="0.25">
      <c r="A25" s="47" t="s">
        <v>579</v>
      </c>
      <c r="B25" s="48">
        <v>42537</v>
      </c>
      <c r="C25" s="33" t="s">
        <v>576</v>
      </c>
    </row>
    <row r="26" spans="1:3" x14ac:dyDescent="0.25">
      <c r="A26" s="47" t="s">
        <v>580</v>
      </c>
      <c r="B26" s="48">
        <v>42541</v>
      </c>
      <c r="C26" s="33" t="s">
        <v>578</v>
      </c>
    </row>
    <row r="27" spans="1:3" x14ac:dyDescent="0.25">
      <c r="A27" s="47" t="s">
        <v>968</v>
      </c>
      <c r="B27" s="48">
        <v>42542</v>
      </c>
      <c r="C27" s="33" t="s">
        <v>969</v>
      </c>
    </row>
    <row r="28" spans="1:3" x14ac:dyDescent="0.25">
      <c r="A28" s="47" t="s">
        <v>1022</v>
      </c>
      <c r="B28" s="48">
        <v>42558</v>
      </c>
      <c r="C28" s="33" t="s">
        <v>1026</v>
      </c>
    </row>
    <row r="29" spans="1:3" x14ac:dyDescent="0.25">
      <c r="A29" s="47" t="s">
        <v>1028</v>
      </c>
      <c r="B29" s="48">
        <v>42594</v>
      </c>
      <c r="C29" s="33" t="s">
        <v>1029</v>
      </c>
    </row>
    <row r="30" spans="1:3" x14ac:dyDescent="0.25">
      <c r="A30" s="47" t="s">
        <v>1030</v>
      </c>
      <c r="B30" s="48">
        <v>42639</v>
      </c>
      <c r="C30" s="33" t="s">
        <v>1032</v>
      </c>
    </row>
    <row r="31" spans="1:3" x14ac:dyDescent="0.25">
      <c r="A31" s="47" t="s">
        <v>1038</v>
      </c>
      <c r="B31" s="48">
        <v>42776</v>
      </c>
      <c r="C31" s="33" t="s">
        <v>1340</v>
      </c>
    </row>
    <row r="32" spans="1:3" x14ac:dyDescent="0.25">
      <c r="A32" s="47" t="s">
        <v>1408</v>
      </c>
      <c r="B32" s="48">
        <v>42840</v>
      </c>
      <c r="C32" s="33" t="s">
        <v>1409</v>
      </c>
    </row>
    <row r="33" spans="1:3" x14ac:dyDescent="0.25">
      <c r="A33" s="47" t="s">
        <v>1901</v>
      </c>
      <c r="B33" s="48">
        <v>43052</v>
      </c>
      <c r="C33" s="33" t="s">
        <v>1902</v>
      </c>
    </row>
    <row r="34" spans="1:3" x14ac:dyDescent="0.25">
      <c r="A34" s="47"/>
      <c r="B34" s="48"/>
    </row>
    <row r="35" spans="1:3" x14ac:dyDescent="0.25">
      <c r="A35" s="47"/>
      <c r="B35" s="48"/>
    </row>
    <row r="36" spans="1:3" x14ac:dyDescent="0.25">
      <c r="A36" s="47"/>
      <c r="B36" s="48"/>
    </row>
    <row r="37" spans="1:3" x14ac:dyDescent="0.25">
      <c r="A37" s="47"/>
      <c r="B37" s="48"/>
    </row>
    <row r="38" spans="1:3" x14ac:dyDescent="0.25">
      <c r="A38" s="47"/>
      <c r="B38" s="48"/>
    </row>
    <row r="39" spans="1:3" x14ac:dyDescent="0.25">
      <c r="A39" s="47"/>
      <c r="B39" s="48"/>
    </row>
    <row r="40" spans="1:3" x14ac:dyDescent="0.25">
      <c r="A40" s="47"/>
      <c r="B40" s="48"/>
    </row>
    <row r="41" spans="1:3" x14ac:dyDescent="0.25">
      <c r="A41" s="47"/>
      <c r="B41" s="48"/>
    </row>
    <row r="42" spans="1:3" x14ac:dyDescent="0.25">
      <c r="A42" s="47"/>
      <c r="B42" s="48"/>
    </row>
    <row r="43" spans="1:3" x14ac:dyDescent="0.25">
      <c r="A43" s="47"/>
      <c r="B43" s="48"/>
    </row>
    <row r="44" spans="1:3" x14ac:dyDescent="0.25">
      <c r="A44" s="47"/>
      <c r="B44" s="48"/>
    </row>
    <row r="45" spans="1:3" x14ac:dyDescent="0.25">
      <c r="B45" s="48"/>
    </row>
    <row r="46" spans="1:3" x14ac:dyDescent="0.25">
      <c r="B46" s="48"/>
    </row>
    <row r="47" spans="1:3" x14ac:dyDescent="0.25">
      <c r="B47" s="48"/>
    </row>
    <row r="48" spans="1:3" x14ac:dyDescent="0.25">
      <c r="B48" s="48"/>
    </row>
    <row r="49" spans="2:2" x14ac:dyDescent="0.25">
      <c r="B49" s="48"/>
    </row>
    <row r="50" spans="2:2" x14ac:dyDescent="0.25">
      <c r="B50" s="48"/>
    </row>
    <row r="51" spans="2:2" x14ac:dyDescent="0.25">
      <c r="B51" s="48"/>
    </row>
  </sheetData>
  <mergeCells count="16">
    <mergeCell ref="A21:C21"/>
    <mergeCell ref="A18:C19"/>
    <mergeCell ref="A7:C7"/>
    <mergeCell ref="A1:C1"/>
    <mergeCell ref="A3:C3"/>
    <mergeCell ref="A4:C4"/>
    <mergeCell ref="A5:C5"/>
    <mergeCell ref="A6:C6"/>
    <mergeCell ref="A16:C16"/>
    <mergeCell ref="A17:C17"/>
    <mergeCell ref="A8:C8"/>
    <mergeCell ref="A9:C9"/>
    <mergeCell ref="A10:C10"/>
    <mergeCell ref="A15:C15"/>
    <mergeCell ref="A14:C14"/>
    <mergeCell ref="A13:C13"/>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4"/>
  <sheetViews>
    <sheetView tabSelected="1" topLeftCell="R78" workbookViewId="0">
      <selection activeCell="AJ88" sqref="AJ88:AK93"/>
    </sheetView>
    <sheetView workbookViewId="1"/>
    <sheetView workbookViewId="2"/>
  </sheetViews>
  <sheetFormatPr defaultRowHeight="15" x14ac:dyDescent="0.25"/>
  <cols>
    <col min="1" max="1" width="2" style="66" customWidth="1"/>
    <col min="2" max="2" width="14" style="66" bestFit="1" customWidth="1"/>
    <col min="3" max="4" width="9.140625" style="66"/>
    <col min="5" max="5" width="10.5703125" style="66" customWidth="1"/>
    <col min="6" max="6" width="11.140625" style="66" customWidth="1"/>
    <col min="7" max="7" width="9.140625" style="66" customWidth="1"/>
    <col min="8" max="8" width="11.85546875" style="66" customWidth="1"/>
    <col min="9" max="11" width="9.140625" style="66"/>
    <col min="12" max="12" width="0.85546875" style="132" customWidth="1"/>
    <col min="13" max="13" width="2.7109375" style="140" customWidth="1"/>
    <col min="14" max="16" width="9.140625" style="140"/>
    <col min="17" max="17" width="13.42578125" style="140" customWidth="1"/>
    <col min="18" max="18" width="2.140625" style="67" customWidth="1"/>
    <col min="19" max="32" width="9.5703125" style="68" hidden="1" customWidth="1"/>
    <col min="33" max="33" width="2.28515625" style="69" customWidth="1"/>
    <col min="34" max="34" width="47.28515625" style="172" customWidth="1"/>
    <col min="35" max="35" width="9.140625" style="172"/>
    <col min="36" max="36" width="45" style="68" customWidth="1"/>
    <col min="37" max="16384" width="9.140625" style="68"/>
  </cols>
  <sheetData>
    <row r="1" spans="2:37" x14ac:dyDescent="0.25">
      <c r="R1" s="170" t="s">
        <v>971</v>
      </c>
      <c r="AG1" s="79" t="s">
        <v>972</v>
      </c>
      <c r="AI1" s="186" t="s">
        <v>1031</v>
      </c>
      <c r="AJ1" s="172"/>
      <c r="AK1" s="172"/>
    </row>
    <row r="2" spans="2:37" x14ac:dyDescent="0.25">
      <c r="B2" s="70" t="s">
        <v>145</v>
      </c>
      <c r="C2" s="280"/>
      <c r="D2" s="282"/>
      <c r="E2" s="282"/>
      <c r="F2" s="282"/>
      <c r="G2" s="282"/>
      <c r="H2" s="281"/>
      <c r="J2" s="283" t="s">
        <v>1316</v>
      </c>
      <c r="K2" s="283"/>
      <c r="M2" s="139" t="s">
        <v>916</v>
      </c>
      <c r="T2" s="68" t="s">
        <v>914</v>
      </c>
      <c r="U2" s="68" t="s">
        <v>1317</v>
      </c>
      <c r="AJ2" s="172"/>
      <c r="AK2" s="172"/>
    </row>
    <row r="3" spans="2:37" x14ac:dyDescent="0.25">
      <c r="B3" s="70"/>
      <c r="C3" s="70"/>
      <c r="D3" s="70"/>
      <c r="E3" s="70"/>
      <c r="F3" s="70"/>
      <c r="G3" s="70"/>
      <c r="H3" s="70"/>
      <c r="J3" s="213" t="s">
        <v>1317</v>
      </c>
      <c r="M3" s="278" t="s">
        <v>914</v>
      </c>
      <c r="N3" s="279"/>
      <c r="T3" s="68" t="s">
        <v>915</v>
      </c>
      <c r="U3" s="68" t="s">
        <v>1318</v>
      </c>
      <c r="AJ3" s="172"/>
      <c r="AK3" s="172"/>
    </row>
    <row r="4" spans="2:37" x14ac:dyDescent="0.25">
      <c r="B4" s="70" t="s">
        <v>147</v>
      </c>
      <c r="C4" s="280"/>
      <c r="D4" s="282"/>
      <c r="E4" s="282"/>
      <c r="F4" s="282"/>
      <c r="G4" s="282"/>
      <c r="H4" s="281"/>
      <c r="J4" s="99"/>
      <c r="AJ4" s="172"/>
      <c r="AK4" s="172"/>
    </row>
    <row r="5" spans="2:37" x14ac:dyDescent="0.25">
      <c r="AJ5" s="172"/>
      <c r="AK5" s="172"/>
    </row>
    <row r="6" spans="2:37" x14ac:dyDescent="0.25">
      <c r="B6" s="70" t="s">
        <v>146</v>
      </c>
      <c r="C6" s="280"/>
      <c r="D6" s="282"/>
      <c r="E6" s="282"/>
      <c r="F6" s="282"/>
      <c r="G6" s="282"/>
      <c r="H6" s="281"/>
      <c r="M6" s="276" t="s">
        <v>917</v>
      </c>
      <c r="N6" s="276"/>
      <c r="O6" s="276"/>
      <c r="P6" s="276"/>
      <c r="AJ6" s="172"/>
      <c r="AK6" s="172"/>
    </row>
    <row r="7" spans="2:37" x14ac:dyDescent="0.25">
      <c r="M7" s="277" t="s">
        <v>918</v>
      </c>
      <c r="N7" s="277"/>
      <c r="O7" s="277"/>
      <c r="P7" s="277"/>
      <c r="Q7" s="141"/>
      <c r="S7" s="74" t="s">
        <v>100</v>
      </c>
      <c r="T7" s="76" t="e">
        <f>VLOOKUP(B17,S8:W22,5)</f>
        <v>#N/A</v>
      </c>
      <c r="U7" s="77"/>
      <c r="V7" s="203" t="s">
        <v>1181</v>
      </c>
      <c r="W7" s="240">
        <v>0</v>
      </c>
      <c r="Z7" s="97" t="s">
        <v>116</v>
      </c>
      <c r="AA7" s="102"/>
      <c r="AB7" s="102"/>
      <c r="AJ7" s="172"/>
      <c r="AK7" s="172"/>
    </row>
    <row r="8" spans="2:37" ht="18.75" x14ac:dyDescent="0.3">
      <c r="B8" s="71" t="s">
        <v>107</v>
      </c>
      <c r="F8" s="72" t="s">
        <v>129</v>
      </c>
      <c r="G8" s="73">
        <f>2-SUM(D10:D14)</f>
        <v>2</v>
      </c>
      <c r="M8" s="277"/>
      <c r="N8" s="277"/>
      <c r="O8" s="277"/>
      <c r="P8" s="277"/>
      <c r="Q8" s="141"/>
      <c r="S8" s="202" t="s">
        <v>1033</v>
      </c>
      <c r="T8" s="81" t="s">
        <v>106</v>
      </c>
      <c r="U8" s="82" t="s">
        <v>103</v>
      </c>
      <c r="V8" s="87" t="s">
        <v>708</v>
      </c>
      <c r="W8" s="228">
        <v>1</v>
      </c>
      <c r="Z8" s="86" t="s">
        <v>98</v>
      </c>
      <c r="AA8" s="81"/>
      <c r="AB8" s="81"/>
      <c r="AG8" s="79" t="s">
        <v>101</v>
      </c>
      <c r="AJ8" s="172"/>
      <c r="AK8" s="172"/>
    </row>
    <row r="9" spans="2:37" x14ac:dyDescent="0.25">
      <c r="C9" s="66" t="s">
        <v>108</v>
      </c>
      <c r="D9" s="66" t="s">
        <v>109</v>
      </c>
      <c r="E9" s="66" t="s">
        <v>113</v>
      </c>
      <c r="F9" s="66" t="s">
        <v>110</v>
      </c>
      <c r="N9" s="140" t="s">
        <v>921</v>
      </c>
      <c r="O9" s="140" t="s">
        <v>922</v>
      </c>
      <c r="P9" s="140" t="s">
        <v>110</v>
      </c>
      <c r="S9" s="80" t="s">
        <v>207</v>
      </c>
      <c r="T9" s="81" t="s">
        <v>106</v>
      </c>
      <c r="U9" s="82" t="s">
        <v>104</v>
      </c>
      <c r="V9" s="84" t="s">
        <v>263</v>
      </c>
      <c r="W9" s="228">
        <v>2</v>
      </c>
      <c r="Z9" s="86" t="s">
        <v>99</v>
      </c>
      <c r="AA9" s="81"/>
      <c r="AB9" s="81"/>
      <c r="AG9" s="79" t="s">
        <v>101</v>
      </c>
      <c r="AJ9" s="172"/>
      <c r="AK9" s="172"/>
    </row>
    <row r="10" spans="2:37" x14ac:dyDescent="0.25">
      <c r="B10" s="66" t="s">
        <v>102</v>
      </c>
      <c r="C10" s="135">
        <v>2</v>
      </c>
      <c r="D10" s="136"/>
      <c r="E10" s="135">
        <f>IF($E$17=B10,1,0)</f>
        <v>0</v>
      </c>
      <c r="F10" s="135">
        <f>SUM(C10:E10)</f>
        <v>2</v>
      </c>
      <c r="N10" s="149"/>
      <c r="O10" s="149"/>
      <c r="P10" s="142">
        <f>F10+N10-O10</f>
        <v>2</v>
      </c>
      <c r="S10" s="80" t="s">
        <v>208</v>
      </c>
      <c r="T10" s="81" t="s">
        <v>103</v>
      </c>
      <c r="U10" s="82" t="s">
        <v>105</v>
      </c>
      <c r="V10" s="253" t="s">
        <v>1493</v>
      </c>
      <c r="W10" s="228">
        <v>3</v>
      </c>
      <c r="Z10" s="86" t="s">
        <v>225</v>
      </c>
      <c r="AA10" s="81"/>
      <c r="AB10" s="81"/>
      <c r="AG10" s="79" t="s">
        <v>101</v>
      </c>
      <c r="AJ10" s="172"/>
      <c r="AK10" s="172"/>
    </row>
    <row r="11" spans="2:37" x14ac:dyDescent="0.25">
      <c r="B11" s="66" t="s">
        <v>103</v>
      </c>
      <c r="C11" s="135">
        <v>2</v>
      </c>
      <c r="D11" s="137"/>
      <c r="E11" s="135">
        <f>IF($E$17=B11,1,0)</f>
        <v>0</v>
      </c>
      <c r="F11" s="135">
        <f t="shared" ref="F11:F14" si="0">SUM(C11:E11)</f>
        <v>2</v>
      </c>
      <c r="N11" s="149"/>
      <c r="O11" s="149"/>
      <c r="P11" s="142">
        <f>F11+N11-O11</f>
        <v>2</v>
      </c>
      <c r="S11" s="80" t="s">
        <v>136</v>
      </c>
      <c r="T11" s="103" t="s">
        <v>102</v>
      </c>
      <c r="U11" s="82" t="s">
        <v>104</v>
      </c>
      <c r="V11" s="84" t="s">
        <v>709</v>
      </c>
      <c r="W11" s="228">
        <v>4</v>
      </c>
      <c r="Z11" s="86" t="s">
        <v>226</v>
      </c>
      <c r="AA11" s="81"/>
      <c r="AB11" s="81"/>
      <c r="AG11" s="79" t="s">
        <v>101</v>
      </c>
      <c r="AJ11" s="172"/>
      <c r="AK11" s="172"/>
    </row>
    <row r="12" spans="2:37" x14ac:dyDescent="0.25">
      <c r="B12" s="66" t="s">
        <v>104</v>
      </c>
      <c r="C12" s="135">
        <v>2</v>
      </c>
      <c r="D12" s="137"/>
      <c r="E12" s="135">
        <f>IF($E$17=B12,1,0)</f>
        <v>0</v>
      </c>
      <c r="F12" s="135">
        <f t="shared" si="0"/>
        <v>2</v>
      </c>
      <c r="N12" s="149"/>
      <c r="O12" s="149"/>
      <c r="P12" s="142">
        <f>F12+N12-O12</f>
        <v>2</v>
      </c>
      <c r="S12" s="80" t="s">
        <v>209</v>
      </c>
      <c r="T12" s="103" t="s">
        <v>102</v>
      </c>
      <c r="U12" s="82" t="s">
        <v>103</v>
      </c>
      <c r="V12" s="84" t="s">
        <v>263</v>
      </c>
      <c r="W12" s="228">
        <v>5</v>
      </c>
      <c r="Z12" s="86" t="s">
        <v>227</v>
      </c>
      <c r="AA12" s="81"/>
      <c r="AB12" s="81"/>
      <c r="AG12" s="79" t="s">
        <v>101</v>
      </c>
      <c r="AJ12" s="172"/>
      <c r="AK12" s="172"/>
    </row>
    <row r="13" spans="2:37" x14ac:dyDescent="0.25">
      <c r="B13" s="66" t="s">
        <v>105</v>
      </c>
      <c r="C13" s="135">
        <v>2</v>
      </c>
      <c r="D13" s="137"/>
      <c r="E13" s="135">
        <f>IF($E$17=B13,1,0)</f>
        <v>0</v>
      </c>
      <c r="F13" s="135">
        <f t="shared" si="0"/>
        <v>2</v>
      </c>
      <c r="N13" s="149"/>
      <c r="O13" s="149"/>
      <c r="P13" s="142">
        <f>F13+N13-O13</f>
        <v>2</v>
      </c>
      <c r="S13" s="80" t="s">
        <v>210</v>
      </c>
      <c r="T13" s="81" t="s">
        <v>106</v>
      </c>
      <c r="U13" s="82" t="s">
        <v>105</v>
      </c>
      <c r="V13" s="84" t="s">
        <v>263</v>
      </c>
      <c r="W13" s="228">
        <v>6</v>
      </c>
      <c r="Z13" s="203" t="s">
        <v>1039</v>
      </c>
      <c r="AA13" s="204"/>
      <c r="AB13" s="204"/>
      <c r="AG13" s="79" t="s">
        <v>101</v>
      </c>
      <c r="AJ13" s="172"/>
      <c r="AK13" s="172"/>
    </row>
    <row r="14" spans="2:37" x14ac:dyDescent="0.25">
      <c r="B14" s="66" t="s">
        <v>106</v>
      </c>
      <c r="C14" s="135">
        <v>2</v>
      </c>
      <c r="D14" s="138"/>
      <c r="E14" s="135">
        <f>IF($E$17=B14,1,0)</f>
        <v>0</v>
      </c>
      <c r="F14" s="135">
        <f t="shared" si="0"/>
        <v>2</v>
      </c>
      <c r="N14" s="149"/>
      <c r="O14" s="149"/>
      <c r="P14" s="142">
        <f>F14+N14-O14</f>
        <v>2</v>
      </c>
      <c r="S14" s="202" t="s">
        <v>1034</v>
      </c>
      <c r="T14" s="103" t="s">
        <v>102</v>
      </c>
      <c r="U14" s="82" t="s">
        <v>103</v>
      </c>
      <c r="V14" s="203" t="s">
        <v>1179</v>
      </c>
      <c r="W14" s="228">
        <v>7</v>
      </c>
      <c r="Z14" s="86" t="s">
        <v>228</v>
      </c>
      <c r="AA14" s="81"/>
      <c r="AB14" s="81"/>
      <c r="AG14" s="79" t="s">
        <v>101</v>
      </c>
      <c r="AJ14" s="172"/>
      <c r="AK14" s="172"/>
    </row>
    <row r="15" spans="2:37" x14ac:dyDescent="0.25">
      <c r="M15" s="140" t="s">
        <v>919</v>
      </c>
      <c r="P15" s="143">
        <f>SUM(P10:P14)</f>
        <v>10</v>
      </c>
      <c r="S15" s="202" t="s">
        <v>1035</v>
      </c>
      <c r="T15" s="103" t="s">
        <v>106</v>
      </c>
      <c r="U15" s="82" t="s">
        <v>105</v>
      </c>
      <c r="V15" s="87" t="s">
        <v>708</v>
      </c>
      <c r="W15" s="228">
        <v>8</v>
      </c>
      <c r="Z15" s="203" t="s">
        <v>1044</v>
      </c>
      <c r="AA15" s="204"/>
      <c r="AB15" s="204"/>
      <c r="AG15" s="79" t="s">
        <v>101</v>
      </c>
      <c r="AJ15" s="172"/>
      <c r="AK15" s="172"/>
    </row>
    <row r="16" spans="2:37" x14ac:dyDescent="0.25">
      <c r="B16" s="70" t="s">
        <v>111</v>
      </c>
      <c r="E16" s="66" t="s">
        <v>112</v>
      </c>
      <c r="M16" s="140" t="s">
        <v>920</v>
      </c>
      <c r="S16" s="80" t="s">
        <v>138</v>
      </c>
      <c r="T16" s="81" t="s">
        <v>103</v>
      </c>
      <c r="U16" s="82" t="s">
        <v>106</v>
      </c>
      <c r="V16" s="84" t="s">
        <v>710</v>
      </c>
      <c r="W16" s="228">
        <v>9</v>
      </c>
      <c r="Z16" s="86" t="s">
        <v>546</v>
      </c>
      <c r="AA16" s="81"/>
      <c r="AB16" s="81"/>
      <c r="AG16" s="79" t="s">
        <v>101</v>
      </c>
      <c r="AJ16" s="172"/>
      <c r="AK16" s="172"/>
    </row>
    <row r="17" spans="2:37" x14ac:dyDescent="0.25">
      <c r="B17" s="280"/>
      <c r="C17" s="281"/>
      <c r="E17" s="280"/>
      <c r="F17" s="281"/>
      <c r="S17" s="202" t="s">
        <v>1036</v>
      </c>
      <c r="T17" s="103" t="s">
        <v>104</v>
      </c>
      <c r="U17" s="125" t="s">
        <v>105</v>
      </c>
      <c r="V17" s="211" t="s">
        <v>1180</v>
      </c>
      <c r="W17" s="228">
        <v>10</v>
      </c>
      <c r="Z17" s="86" t="s">
        <v>229</v>
      </c>
      <c r="AA17" s="81"/>
      <c r="AB17" s="81"/>
      <c r="AG17" s="79" t="s">
        <v>101</v>
      </c>
      <c r="AJ17" s="172"/>
      <c r="AK17" s="172"/>
    </row>
    <row r="18" spans="2:37" x14ac:dyDescent="0.25">
      <c r="S18" s="202" t="s">
        <v>1037</v>
      </c>
      <c r="T18" s="103" t="s">
        <v>102</v>
      </c>
      <c r="U18" s="125" t="s">
        <v>104</v>
      </c>
      <c r="V18" s="87" t="s">
        <v>708</v>
      </c>
      <c r="W18" s="228">
        <v>11</v>
      </c>
      <c r="Z18" s="86" t="s">
        <v>230</v>
      </c>
      <c r="AA18" s="81"/>
      <c r="AB18" s="81"/>
      <c r="AG18" s="79" t="s">
        <v>101</v>
      </c>
      <c r="AJ18" s="172"/>
      <c r="AK18" s="172"/>
    </row>
    <row r="19" spans="2:37" ht="18.75" x14ac:dyDescent="0.3">
      <c r="B19" s="71" t="s">
        <v>97</v>
      </c>
      <c r="S19" s="80" t="s">
        <v>211</v>
      </c>
      <c r="T19" s="103" t="s">
        <v>102</v>
      </c>
      <c r="U19" s="82" t="s">
        <v>106</v>
      </c>
      <c r="V19" s="84" t="s">
        <v>711</v>
      </c>
      <c r="W19" s="228">
        <v>12</v>
      </c>
      <c r="Z19" s="86" t="s">
        <v>231</v>
      </c>
      <c r="AA19" s="81"/>
      <c r="AB19" s="81"/>
      <c r="AG19" s="79" t="s">
        <v>101</v>
      </c>
      <c r="AJ19" s="172"/>
      <c r="AK19" s="172"/>
    </row>
    <row r="20" spans="2:37" x14ac:dyDescent="0.25">
      <c r="S20" s="80" t="s">
        <v>212</v>
      </c>
      <c r="T20" s="81" t="s">
        <v>104</v>
      </c>
      <c r="U20" s="82" t="s">
        <v>105</v>
      </c>
      <c r="V20" s="253" t="e">
        <f>IF(OR(B22=Z51,F22=Z51),"Tura's Touch","Mother’s Touch")</f>
        <v>#N/A</v>
      </c>
      <c r="W20" s="228">
        <v>13</v>
      </c>
      <c r="Z20" s="86" t="s">
        <v>232</v>
      </c>
      <c r="AA20" s="81"/>
      <c r="AB20" s="81"/>
      <c r="AG20" s="79" t="s">
        <v>101</v>
      </c>
      <c r="AH20" s="307" t="str">
        <f>IF(B22&lt;&gt;"",B22,"")</f>
        <v/>
      </c>
      <c r="AI20" s="307"/>
      <c r="AJ20" s="307"/>
      <c r="AK20" s="307"/>
    </row>
    <row r="21" spans="2:37" x14ac:dyDescent="0.25">
      <c r="B21" s="66" t="s">
        <v>114</v>
      </c>
      <c r="F21" s="66" t="s">
        <v>119</v>
      </c>
      <c r="M21" s="275" t="s">
        <v>924</v>
      </c>
      <c r="N21" s="275"/>
      <c r="O21" s="275"/>
      <c r="P21" s="275"/>
      <c r="Q21" s="275"/>
      <c r="S21" s="80" t="s">
        <v>141</v>
      </c>
      <c r="T21" s="103" t="s">
        <v>102</v>
      </c>
      <c r="U21" s="82" t="s">
        <v>105</v>
      </c>
      <c r="V21" s="253" t="s">
        <v>1517</v>
      </c>
      <c r="W21" s="228">
        <v>14</v>
      </c>
      <c r="Z21" s="86" t="s">
        <v>233</v>
      </c>
      <c r="AA21" s="81"/>
      <c r="AB21" s="81"/>
      <c r="AG21" s="79" t="s">
        <v>101</v>
      </c>
      <c r="AH21" s="306" t="str">
        <f>IF(B22&lt;&gt;"",print!B30,"")</f>
        <v/>
      </c>
      <c r="AI21" s="306"/>
      <c r="AJ21" s="306"/>
      <c r="AK21" s="306"/>
    </row>
    <row r="22" spans="2:37" x14ac:dyDescent="0.25">
      <c r="B22" s="280"/>
      <c r="C22" s="282"/>
      <c r="D22" s="281"/>
      <c r="F22" s="280"/>
      <c r="G22" s="282"/>
      <c r="H22" s="281"/>
      <c r="M22" s="275">
        <f>B22</f>
        <v>0</v>
      </c>
      <c r="N22" s="275"/>
      <c r="O22" s="275"/>
      <c r="P22" s="275"/>
      <c r="S22" s="90" t="s">
        <v>142</v>
      </c>
      <c r="T22" s="91" t="s">
        <v>103</v>
      </c>
      <c r="U22" s="92" t="s">
        <v>104</v>
      </c>
      <c r="V22" s="93" t="s">
        <v>712</v>
      </c>
      <c r="W22" s="228">
        <v>15</v>
      </c>
      <c r="Z22" s="86" t="s">
        <v>234</v>
      </c>
      <c r="AA22" s="81"/>
      <c r="AB22" s="81"/>
      <c r="AG22" s="79" t="s">
        <v>101</v>
      </c>
      <c r="AH22" s="306"/>
      <c r="AI22" s="306"/>
      <c r="AJ22" s="306"/>
      <c r="AK22" s="306"/>
    </row>
    <row r="23" spans="2:37" x14ac:dyDescent="0.25">
      <c r="B23" s="70" t="s">
        <v>118</v>
      </c>
      <c r="F23" s="70" t="s">
        <v>118</v>
      </c>
      <c r="N23" s="140" t="s">
        <v>926</v>
      </c>
      <c r="Z23" s="86" t="s">
        <v>235</v>
      </c>
      <c r="AA23" s="81"/>
      <c r="AB23" s="81"/>
      <c r="AG23" s="79" t="s">
        <v>101</v>
      </c>
      <c r="AH23" s="306"/>
      <c r="AI23" s="306"/>
      <c r="AJ23" s="306"/>
      <c r="AK23" s="306"/>
    </row>
    <row r="24" spans="2:37" x14ac:dyDescent="0.25">
      <c r="B24" s="288" t="e">
        <f>VLOOKUP($B$22,backgrounds!B15:M140,3)</f>
        <v>#N/A</v>
      </c>
      <c r="C24" s="288"/>
      <c r="D24" s="288"/>
      <c r="F24" s="288" t="e">
        <f>VLOOKUP($F$22,backgrounds!$B$15:$M$140,3)</f>
        <v>#N/A</v>
      </c>
      <c r="G24" s="288"/>
      <c r="H24" s="288"/>
      <c r="N24" s="274"/>
      <c r="O24" s="274"/>
      <c r="P24" s="274"/>
      <c r="S24" s="74" t="s">
        <v>18</v>
      </c>
      <c r="T24" s="76"/>
      <c r="U24" s="76"/>
      <c r="V24" s="76"/>
      <c r="W24" s="76"/>
      <c r="X24" s="77"/>
      <c r="Y24" s="103"/>
      <c r="Z24" s="86" t="s">
        <v>236</v>
      </c>
      <c r="AA24" s="81"/>
      <c r="AB24" s="81"/>
      <c r="AG24" s="79" t="s">
        <v>101</v>
      </c>
      <c r="AH24" s="306"/>
      <c r="AI24" s="306"/>
      <c r="AJ24" s="306"/>
      <c r="AK24" s="306"/>
    </row>
    <row r="25" spans="2:37" x14ac:dyDescent="0.25">
      <c r="B25" s="288"/>
      <c r="C25" s="288"/>
      <c r="D25" s="288"/>
      <c r="F25" s="288"/>
      <c r="G25" s="288"/>
      <c r="H25" s="288"/>
      <c r="S25" s="101" t="s">
        <v>130</v>
      </c>
      <c r="T25" s="81"/>
      <c r="U25" s="81"/>
      <c r="V25" s="102" t="s">
        <v>131</v>
      </c>
      <c r="W25" s="81"/>
      <c r="X25" s="82"/>
      <c r="Y25" s="103" t="s">
        <v>1219</v>
      </c>
      <c r="Z25" s="86" t="s">
        <v>237</v>
      </c>
      <c r="AA25" s="81"/>
      <c r="AB25" s="81"/>
      <c r="AG25" s="79" t="s">
        <v>101</v>
      </c>
      <c r="AJ25" s="172"/>
      <c r="AK25" s="172"/>
    </row>
    <row r="26" spans="2:37" x14ac:dyDescent="0.25">
      <c r="B26" s="288"/>
      <c r="C26" s="288"/>
      <c r="D26" s="288"/>
      <c r="F26" s="288"/>
      <c r="G26" s="288"/>
      <c r="H26" s="288"/>
      <c r="M26" s="275">
        <f>F22</f>
        <v>0</v>
      </c>
      <c r="N26" s="275"/>
      <c r="O26" s="275"/>
      <c r="P26" s="275"/>
      <c r="S26" s="80" t="s">
        <v>53</v>
      </c>
      <c r="T26" s="81" t="s">
        <v>52</v>
      </c>
      <c r="U26" s="81" t="s">
        <v>509</v>
      </c>
      <c r="V26" s="81" t="s">
        <v>27</v>
      </c>
      <c r="W26" s="81" t="s">
        <v>25</v>
      </c>
      <c r="X26" s="82" t="s">
        <v>499</v>
      </c>
      <c r="Y26" s="103" t="s">
        <v>1219</v>
      </c>
      <c r="Z26" s="86" t="s">
        <v>238</v>
      </c>
      <c r="AA26" s="81"/>
      <c r="AB26" s="81"/>
      <c r="AG26" s="79" t="s">
        <v>101</v>
      </c>
      <c r="AH26" s="307" t="str">
        <f>IF(F22&lt;&gt;"",F22,"")</f>
        <v/>
      </c>
      <c r="AI26" s="307"/>
      <c r="AJ26" s="307"/>
      <c r="AK26" s="307"/>
    </row>
    <row r="27" spans="2:37" x14ac:dyDescent="0.25">
      <c r="B27" s="288"/>
      <c r="C27" s="288"/>
      <c r="D27" s="288"/>
      <c r="F27" s="288"/>
      <c r="G27" s="288"/>
      <c r="H27" s="288"/>
      <c r="N27" s="140" t="s">
        <v>926</v>
      </c>
      <c r="S27" s="80" t="s">
        <v>50</v>
      </c>
      <c r="T27" s="81" t="s">
        <v>49</v>
      </c>
      <c r="U27" s="81" t="s">
        <v>523</v>
      </c>
      <c r="V27" s="81" t="s">
        <v>39</v>
      </c>
      <c r="W27" s="81" t="s">
        <v>37</v>
      </c>
      <c r="X27" s="82" t="s">
        <v>504</v>
      </c>
      <c r="Y27" s="103" t="s">
        <v>1219</v>
      </c>
      <c r="Z27" s="86" t="s">
        <v>239</v>
      </c>
      <c r="AA27" s="81"/>
      <c r="AB27" s="81"/>
      <c r="AG27" s="79" t="s">
        <v>101</v>
      </c>
      <c r="AH27" s="306" t="str">
        <f>IF(F22&lt;&gt;"",print!B36,"")</f>
        <v/>
      </c>
      <c r="AI27" s="306"/>
      <c r="AJ27" s="306"/>
      <c r="AK27" s="306"/>
    </row>
    <row r="28" spans="2:37" x14ac:dyDescent="0.25">
      <c r="B28" s="95"/>
      <c r="C28" s="95"/>
      <c r="D28" s="95"/>
      <c r="N28" s="274"/>
      <c r="O28" s="274"/>
      <c r="P28" s="274"/>
      <c r="S28" s="80" t="s">
        <v>35</v>
      </c>
      <c r="T28" s="81" t="s">
        <v>34</v>
      </c>
      <c r="U28" s="103" t="s">
        <v>525</v>
      </c>
      <c r="V28" s="81" t="s">
        <v>69</v>
      </c>
      <c r="W28" s="81" t="s">
        <v>67</v>
      </c>
      <c r="X28" s="82" t="s">
        <v>520</v>
      </c>
      <c r="Y28" s="103" t="s">
        <v>1219</v>
      </c>
      <c r="Z28" s="86" t="s">
        <v>240</v>
      </c>
      <c r="AA28" s="81"/>
      <c r="AB28" s="81"/>
      <c r="AG28" s="79" t="s">
        <v>101</v>
      </c>
      <c r="AH28" s="306"/>
      <c r="AI28" s="306"/>
      <c r="AJ28" s="306"/>
      <c r="AK28" s="306"/>
    </row>
    <row r="29" spans="2:37" x14ac:dyDescent="0.25">
      <c r="B29" s="70" t="s">
        <v>124</v>
      </c>
      <c r="E29" s="70" t="s">
        <v>124</v>
      </c>
      <c r="H29" s="70" t="s">
        <v>128</v>
      </c>
      <c r="S29" s="80" t="s">
        <v>56</v>
      </c>
      <c r="T29" s="81" t="s">
        <v>55</v>
      </c>
      <c r="U29" s="103" t="s">
        <v>526</v>
      </c>
      <c r="V29" s="81" t="s">
        <v>60</v>
      </c>
      <c r="W29" s="81" t="s">
        <v>58</v>
      </c>
      <c r="X29" s="82" t="s">
        <v>513</v>
      </c>
      <c r="Y29" s="103" t="s">
        <v>1219</v>
      </c>
      <c r="Z29" s="86" t="s">
        <v>241</v>
      </c>
      <c r="AA29" s="81"/>
      <c r="AB29" s="81"/>
      <c r="AG29" s="79" t="s">
        <v>101</v>
      </c>
      <c r="AH29" s="306"/>
      <c r="AI29" s="306"/>
      <c r="AJ29" s="306"/>
      <c r="AK29" s="306"/>
    </row>
    <row r="30" spans="2:37" x14ac:dyDescent="0.25">
      <c r="B30" s="66" t="e">
        <f>VLOOKUP($B$22,backgrounds!$B$15:$M$140,4)</f>
        <v>#N/A</v>
      </c>
      <c r="E30" s="66" t="e">
        <f>VLOOKUP($F$22,backgrounds!$B$15:$M$140,4)</f>
        <v>#N/A</v>
      </c>
      <c r="H30" s="66" t="e">
        <f>T51+T52+T53</f>
        <v>#N/A</v>
      </c>
      <c r="S30" s="80" t="s">
        <v>77</v>
      </c>
      <c r="T30" s="81" t="s">
        <v>76</v>
      </c>
      <c r="U30" s="103" t="s">
        <v>528</v>
      </c>
      <c r="V30" s="81" t="s">
        <v>21</v>
      </c>
      <c r="W30" s="81" t="s">
        <v>19</v>
      </c>
      <c r="X30" s="82" t="s">
        <v>495</v>
      </c>
      <c r="Y30" s="103" t="s">
        <v>1219</v>
      </c>
      <c r="Z30" s="86" t="s">
        <v>242</v>
      </c>
      <c r="AA30" s="81"/>
      <c r="AB30" s="81"/>
      <c r="AG30" s="79" t="s">
        <v>101</v>
      </c>
      <c r="AH30" s="306"/>
      <c r="AI30" s="306"/>
      <c r="AJ30" s="306"/>
      <c r="AK30" s="306"/>
    </row>
    <row r="31" spans="2:37" x14ac:dyDescent="0.25">
      <c r="B31" s="66" t="e">
        <f>VLOOKUP($B$22,backgrounds!$B$15:$M$140,5)</f>
        <v>#N/A</v>
      </c>
      <c r="E31" s="66" t="e">
        <f>VLOOKUP($F$22,backgrounds!$B$15:$M$140,5)</f>
        <v>#N/A</v>
      </c>
      <c r="S31" s="80" t="s">
        <v>71</v>
      </c>
      <c r="T31" s="81" t="s">
        <v>70</v>
      </c>
      <c r="U31" s="103" t="s">
        <v>518</v>
      </c>
      <c r="V31" s="207" t="s">
        <v>1169</v>
      </c>
      <c r="W31" s="204" t="s">
        <v>1167</v>
      </c>
      <c r="X31" s="207" t="s">
        <v>1170</v>
      </c>
      <c r="Y31" s="103" t="s">
        <v>1219</v>
      </c>
      <c r="Z31" s="86" t="s">
        <v>243</v>
      </c>
      <c r="AA31" s="81"/>
      <c r="AB31" s="81"/>
      <c r="AG31" s="79" t="s">
        <v>101</v>
      </c>
      <c r="AJ31" s="172"/>
      <c r="AK31" s="172"/>
    </row>
    <row r="32" spans="2:37" x14ac:dyDescent="0.25">
      <c r="B32" s="66" t="e">
        <f>VLOOKUP($B$22,backgrounds!$B$15:$M$140,6)</f>
        <v>#N/A</v>
      </c>
      <c r="E32" s="66" t="e">
        <f>VLOOKUP($F$22,backgrounds!$B$15:$M$140,6)</f>
        <v>#N/A</v>
      </c>
      <c r="S32" s="80" t="s">
        <v>68</v>
      </c>
      <c r="T32" s="81" t="s">
        <v>67</v>
      </c>
      <c r="U32" s="103" t="s">
        <v>517</v>
      </c>
      <c r="V32" s="81" t="s">
        <v>42</v>
      </c>
      <c r="W32" s="81" t="s">
        <v>40</v>
      </c>
      <c r="X32" s="82" t="s">
        <v>506</v>
      </c>
      <c r="Y32" s="103" t="s">
        <v>1219</v>
      </c>
      <c r="Z32" s="86" t="s">
        <v>244</v>
      </c>
      <c r="AA32" s="81"/>
      <c r="AB32" s="81"/>
      <c r="AG32" s="79" t="s">
        <v>101</v>
      </c>
      <c r="AJ32" s="172"/>
      <c r="AK32" s="172"/>
    </row>
    <row r="33" spans="2:37" x14ac:dyDescent="0.25">
      <c r="S33" s="80" t="s">
        <v>32</v>
      </c>
      <c r="T33" s="81" t="s">
        <v>31</v>
      </c>
      <c r="U33" s="103" t="s">
        <v>500</v>
      </c>
      <c r="V33" s="81" t="s">
        <v>72</v>
      </c>
      <c r="W33" s="81" t="s">
        <v>70</v>
      </c>
      <c r="X33" s="82" t="s">
        <v>519</v>
      </c>
      <c r="Y33" s="103" t="s">
        <v>1219</v>
      </c>
      <c r="Z33" s="86" t="s">
        <v>245</v>
      </c>
      <c r="AA33" s="81"/>
      <c r="AB33" s="81"/>
      <c r="AG33" s="79" t="s">
        <v>101</v>
      </c>
      <c r="AH33" s="292" t="s">
        <v>989</v>
      </c>
      <c r="AI33" s="292"/>
      <c r="AJ33" s="292"/>
      <c r="AK33" s="292"/>
    </row>
    <row r="34" spans="2:37" x14ac:dyDescent="0.25">
      <c r="B34" s="70" t="s">
        <v>120</v>
      </c>
      <c r="E34" s="70" t="s">
        <v>120</v>
      </c>
      <c r="S34" s="80" t="s">
        <v>23</v>
      </c>
      <c r="T34" s="81" t="s">
        <v>22</v>
      </c>
      <c r="U34" s="103" t="s">
        <v>496</v>
      </c>
      <c r="V34" s="81" t="s">
        <v>78</v>
      </c>
      <c r="W34" s="81" t="s">
        <v>76</v>
      </c>
      <c r="X34" s="82" t="s">
        <v>529</v>
      </c>
      <c r="Y34" s="103" t="s">
        <v>1219</v>
      </c>
      <c r="Z34" s="86" t="s">
        <v>246</v>
      </c>
      <c r="AA34" s="81"/>
      <c r="AB34" s="81"/>
      <c r="AG34" s="79" t="s">
        <v>101</v>
      </c>
      <c r="AH34" s="292"/>
      <c r="AI34" s="292"/>
      <c r="AJ34" s="292"/>
      <c r="AK34" s="292"/>
    </row>
    <row r="35" spans="2:37" ht="15" customHeight="1" x14ac:dyDescent="0.25">
      <c r="B35" s="66" t="e">
        <f>VLOOKUP($B$22,backgrounds!$B$15:$M$140,7)</f>
        <v>#N/A</v>
      </c>
      <c r="E35" s="66" t="e">
        <f>VLOOKUP($F$22,backgrounds!$B$15:$M$140,7)</f>
        <v>#N/A</v>
      </c>
      <c r="S35" s="80" t="s">
        <v>62</v>
      </c>
      <c r="T35" s="81" t="s">
        <v>61</v>
      </c>
      <c r="U35" s="103" t="s">
        <v>514</v>
      </c>
      <c r="V35" s="81" t="s">
        <v>51</v>
      </c>
      <c r="W35" s="81" t="s">
        <v>49</v>
      </c>
      <c r="X35" s="82" t="s">
        <v>508</v>
      </c>
      <c r="Y35" s="103" t="s">
        <v>1219</v>
      </c>
      <c r="Z35" s="86" t="s">
        <v>247</v>
      </c>
      <c r="AA35" s="81"/>
      <c r="AB35" s="81"/>
      <c r="AG35" s="79" t="s">
        <v>101</v>
      </c>
      <c r="AH35" s="292" t="s">
        <v>990</v>
      </c>
      <c r="AI35" s="292"/>
      <c r="AJ35" s="292"/>
      <c r="AK35" s="292"/>
    </row>
    <row r="36" spans="2:37" x14ac:dyDescent="0.25">
      <c r="B36" s="66" t="e">
        <f>VLOOKUP($B$22,backgrounds!$B$15:$M$140,8)</f>
        <v>#N/A</v>
      </c>
      <c r="E36" s="66" t="e">
        <f>VLOOKUP($F$22,backgrounds!$B$15:$M$140,8)</f>
        <v>#N/A</v>
      </c>
      <c r="S36" s="80" t="s">
        <v>38</v>
      </c>
      <c r="T36" s="81" t="s">
        <v>37</v>
      </c>
      <c r="U36" s="103" t="s">
        <v>503</v>
      </c>
      <c r="V36" s="81" t="s">
        <v>48</v>
      </c>
      <c r="W36" s="81" t="s">
        <v>46</v>
      </c>
      <c r="X36" s="82" t="s">
        <v>507</v>
      </c>
      <c r="Y36" s="103" t="s">
        <v>1219</v>
      </c>
      <c r="Z36" s="86" t="s">
        <v>248</v>
      </c>
      <c r="AA36" s="81"/>
      <c r="AB36" s="81"/>
      <c r="AG36" s="79" t="s">
        <v>101</v>
      </c>
      <c r="AH36" s="292"/>
      <c r="AI36" s="292"/>
      <c r="AJ36" s="292"/>
      <c r="AK36" s="292"/>
    </row>
    <row r="37" spans="2:37" ht="15" customHeight="1" x14ac:dyDescent="0.25">
      <c r="B37" s="66" t="e">
        <f>VLOOKUP($B$22,backgrounds!$B$15:$M$140,9)</f>
        <v>#N/A</v>
      </c>
      <c r="E37" s="66" t="e">
        <f>VLOOKUP($F$22,backgrounds!$B$15:$M$140,9)</f>
        <v>#N/A</v>
      </c>
      <c r="S37" s="202" t="s">
        <v>1164</v>
      </c>
      <c r="T37" s="204" t="s">
        <v>1165</v>
      </c>
      <c r="U37" s="204" t="s">
        <v>1172</v>
      </c>
      <c r="V37" s="81" t="s">
        <v>45</v>
      </c>
      <c r="W37" s="81" t="s">
        <v>43</v>
      </c>
      <c r="X37" s="82" t="s">
        <v>533</v>
      </c>
      <c r="Y37" s="103" t="s">
        <v>1219</v>
      </c>
      <c r="Z37" s="86" t="s">
        <v>249</v>
      </c>
      <c r="AA37" s="81"/>
      <c r="AB37" s="81"/>
      <c r="AG37" s="79" t="s">
        <v>101</v>
      </c>
      <c r="AH37" s="292" t="s">
        <v>991</v>
      </c>
      <c r="AI37" s="292"/>
      <c r="AJ37" s="292"/>
      <c r="AK37" s="292"/>
    </row>
    <row r="38" spans="2:37" x14ac:dyDescent="0.25">
      <c r="B38" s="66" t="e">
        <f>VLOOKUP($B$22,backgrounds!$B$15:$M$140,10)</f>
        <v>#N/A</v>
      </c>
      <c r="E38" s="66" t="e">
        <f>VLOOKUP($F$22,backgrounds!$B$15:$M$140,10)</f>
        <v>#N/A</v>
      </c>
      <c r="S38" s="80" t="s">
        <v>65</v>
      </c>
      <c r="T38" s="81" t="s">
        <v>64</v>
      </c>
      <c r="U38" s="81" t="s">
        <v>515</v>
      </c>
      <c r="V38" s="81" t="s">
        <v>66</v>
      </c>
      <c r="W38" s="81" t="s">
        <v>64</v>
      </c>
      <c r="X38" s="82" t="s">
        <v>516</v>
      </c>
      <c r="Y38" s="103" t="s">
        <v>1219</v>
      </c>
      <c r="Z38" s="203" t="s">
        <v>1047</v>
      </c>
      <c r="AA38" s="204"/>
      <c r="AB38" s="204"/>
      <c r="AG38" s="79" t="s">
        <v>101</v>
      </c>
      <c r="AH38" s="292"/>
      <c r="AI38" s="292"/>
      <c r="AJ38" s="292"/>
      <c r="AK38" s="292"/>
    </row>
    <row r="39" spans="2:37" x14ac:dyDescent="0.25">
      <c r="B39" s="66" t="e">
        <f>VLOOKUP($B$22,backgrounds!$B$15:$M$140,11)</f>
        <v>#N/A</v>
      </c>
      <c r="E39" s="66" t="e">
        <f>VLOOKUP($F$22,backgrounds!$B$15:$M$140,11)</f>
        <v>#N/A</v>
      </c>
      <c r="S39" s="80" t="s">
        <v>41</v>
      </c>
      <c r="T39" s="81" t="s">
        <v>40</v>
      </c>
      <c r="U39" s="103" t="s">
        <v>505</v>
      </c>
      <c r="V39" s="204" t="s">
        <v>1162</v>
      </c>
      <c r="W39" s="204" t="s">
        <v>1160</v>
      </c>
      <c r="X39" s="207" t="s">
        <v>1163</v>
      </c>
      <c r="Y39" s="103" t="s">
        <v>1219</v>
      </c>
      <c r="Z39" s="86" t="s">
        <v>250</v>
      </c>
      <c r="AA39" s="81"/>
      <c r="AB39" s="81"/>
      <c r="AG39" s="79" t="s">
        <v>101</v>
      </c>
      <c r="AH39" s="292" t="s">
        <v>992</v>
      </c>
      <c r="AI39" s="292"/>
      <c r="AJ39" s="292"/>
      <c r="AK39" s="292"/>
    </row>
    <row r="40" spans="2:37" x14ac:dyDescent="0.25">
      <c r="M40" s="275" t="s">
        <v>923</v>
      </c>
      <c r="N40" s="275"/>
      <c r="O40" s="275"/>
      <c r="P40" s="275"/>
      <c r="Q40" s="275"/>
      <c r="S40" s="80" t="s">
        <v>44</v>
      </c>
      <c r="T40" s="81" t="s">
        <v>43</v>
      </c>
      <c r="U40" s="103" t="s">
        <v>535</v>
      </c>
      <c r="V40" s="81" t="s">
        <v>63</v>
      </c>
      <c r="W40" s="81" t="s">
        <v>61</v>
      </c>
      <c r="X40" s="82" t="s">
        <v>534</v>
      </c>
      <c r="Y40" s="103" t="s">
        <v>1219</v>
      </c>
      <c r="Z40" s="86" t="s">
        <v>251</v>
      </c>
      <c r="AA40" s="81"/>
      <c r="AB40" s="81"/>
      <c r="AG40" s="79" t="s">
        <v>101</v>
      </c>
      <c r="AH40" s="292"/>
      <c r="AI40" s="292"/>
      <c r="AJ40" s="292"/>
      <c r="AK40" s="292"/>
    </row>
    <row r="41" spans="2:37" ht="18.75" x14ac:dyDescent="0.3">
      <c r="B41" s="71" t="s">
        <v>92</v>
      </c>
      <c r="C41" s="66" t="s">
        <v>121</v>
      </c>
      <c r="D41" s="66" t="s">
        <v>122</v>
      </c>
      <c r="E41" s="66" t="s">
        <v>123</v>
      </c>
      <c r="F41" s="72" t="s">
        <v>129</v>
      </c>
      <c r="G41" s="73">
        <f>10-SUM(D42:D57)</f>
        <v>10</v>
      </c>
      <c r="N41" s="140" t="s">
        <v>122</v>
      </c>
      <c r="O41" s="140" t="s">
        <v>110</v>
      </c>
      <c r="S41" s="80" t="s">
        <v>29</v>
      </c>
      <c r="T41" s="81" t="s">
        <v>28</v>
      </c>
      <c r="U41" s="103" t="s">
        <v>537</v>
      </c>
      <c r="V41" s="81" t="s">
        <v>54</v>
      </c>
      <c r="W41" s="81" t="s">
        <v>52</v>
      </c>
      <c r="X41" s="82" t="s">
        <v>510</v>
      </c>
      <c r="Y41" s="103" t="s">
        <v>1219</v>
      </c>
      <c r="Z41" s="86" t="s">
        <v>252</v>
      </c>
      <c r="AA41" s="81"/>
      <c r="AB41" s="81"/>
      <c r="AG41" s="79" t="s">
        <v>101</v>
      </c>
      <c r="AH41" s="292" t="s">
        <v>993</v>
      </c>
      <c r="AI41" s="292"/>
      <c r="AJ41" s="292"/>
      <c r="AK41" s="292"/>
    </row>
    <row r="42" spans="2:37" x14ac:dyDescent="0.25">
      <c r="B42" s="96" t="s">
        <v>93</v>
      </c>
      <c r="C42" s="66">
        <f t="shared" ref="C42:C57" si="1">COUNTIF($E$35:$E$39,B42)+COUNTIF($B$35:$B$39,B42)</f>
        <v>0</v>
      </c>
      <c r="D42" s="34"/>
      <c r="E42" s="66">
        <f>D42+C42</f>
        <v>0</v>
      </c>
      <c r="N42" s="149"/>
      <c r="O42" s="142">
        <f>N42+E42</f>
        <v>0</v>
      </c>
      <c r="S42" s="80" t="s">
        <v>59</v>
      </c>
      <c r="T42" s="81" t="s">
        <v>58</v>
      </c>
      <c r="U42" s="103" t="s">
        <v>512</v>
      </c>
      <c r="V42" s="81" t="s">
        <v>30</v>
      </c>
      <c r="W42" s="81" t="s">
        <v>28</v>
      </c>
      <c r="X42" s="82" t="s">
        <v>521</v>
      </c>
      <c r="Y42" s="103" t="s">
        <v>1219</v>
      </c>
      <c r="Z42" s="86" t="s">
        <v>253</v>
      </c>
      <c r="AA42" s="81"/>
      <c r="AB42" s="81"/>
      <c r="AG42" s="79" t="s">
        <v>101</v>
      </c>
      <c r="AH42" s="292"/>
      <c r="AI42" s="292"/>
      <c r="AJ42" s="292"/>
      <c r="AK42" s="292"/>
    </row>
    <row r="43" spans="2:37" ht="15" customHeight="1" x14ac:dyDescent="0.25">
      <c r="B43" s="66" t="s">
        <v>94</v>
      </c>
      <c r="C43" s="66">
        <f t="shared" si="1"/>
        <v>0</v>
      </c>
      <c r="D43" s="35"/>
      <c r="E43" s="66">
        <f t="shared" ref="E43:E57" si="2">D43+C43</f>
        <v>0</v>
      </c>
      <c r="N43" s="149"/>
      <c r="O43" s="142">
        <f t="shared" ref="O43:O57" si="3">N43+E43</f>
        <v>0</v>
      </c>
      <c r="S43" s="80" t="s">
        <v>74</v>
      </c>
      <c r="T43" s="81" t="s">
        <v>73</v>
      </c>
      <c r="U43" s="103" t="s">
        <v>539</v>
      </c>
      <c r="V43" s="81" t="s">
        <v>57</v>
      </c>
      <c r="W43" s="81" t="s">
        <v>55</v>
      </c>
      <c r="X43" s="82" t="s">
        <v>511</v>
      </c>
      <c r="Y43" s="103" t="s">
        <v>1219</v>
      </c>
      <c r="Z43" s="203" t="s">
        <v>1048</v>
      </c>
      <c r="AA43" s="204"/>
      <c r="AB43" s="204"/>
      <c r="AG43" s="79" t="s">
        <v>101</v>
      </c>
      <c r="AH43" s="292" t="s">
        <v>994</v>
      </c>
      <c r="AI43" s="292"/>
      <c r="AJ43" s="292"/>
      <c r="AK43" s="292"/>
    </row>
    <row r="44" spans="2:37" x14ac:dyDescent="0.25">
      <c r="B44" s="66" t="s">
        <v>95</v>
      </c>
      <c r="C44" s="66">
        <f t="shared" si="1"/>
        <v>0</v>
      </c>
      <c r="D44" s="35"/>
      <c r="E44" s="66">
        <f t="shared" si="2"/>
        <v>0</v>
      </c>
      <c r="G44" s="66" t="s">
        <v>1007</v>
      </c>
      <c r="N44" s="149"/>
      <c r="O44" s="142">
        <f t="shared" si="3"/>
        <v>0</v>
      </c>
      <c r="S44" s="202" t="s">
        <v>1166</v>
      </c>
      <c r="T44" s="204" t="s">
        <v>1167</v>
      </c>
      <c r="U44" s="204" t="s">
        <v>1168</v>
      </c>
      <c r="V44" s="81" t="s">
        <v>75</v>
      </c>
      <c r="W44" s="81" t="s">
        <v>73</v>
      </c>
      <c r="X44" s="82" t="s">
        <v>540</v>
      </c>
      <c r="Y44" s="103" t="s">
        <v>1219</v>
      </c>
      <c r="Z44" s="203" t="s">
        <v>1771</v>
      </c>
      <c r="AA44" s="204"/>
      <c r="AB44" s="204"/>
      <c r="AG44" s="79" t="s">
        <v>101</v>
      </c>
      <c r="AH44" s="292"/>
      <c r="AI44" s="292"/>
      <c r="AJ44" s="292"/>
      <c r="AK44" s="292"/>
    </row>
    <row r="45" spans="2:37" x14ac:dyDescent="0.25">
      <c r="B45" s="66" t="s">
        <v>96</v>
      </c>
      <c r="C45" s="66">
        <f t="shared" si="1"/>
        <v>0</v>
      </c>
      <c r="D45" s="35"/>
      <c r="E45" s="66">
        <f t="shared" si="2"/>
        <v>0</v>
      </c>
      <c r="G45" s="66" t="s">
        <v>1008</v>
      </c>
      <c r="N45" s="149"/>
      <c r="O45" s="142">
        <f t="shared" si="3"/>
        <v>0</v>
      </c>
      <c r="S45" s="202" t="s">
        <v>1159</v>
      </c>
      <c r="T45" s="204" t="s">
        <v>1160</v>
      </c>
      <c r="U45" s="204" t="s">
        <v>1161</v>
      </c>
      <c r="V45" s="207" t="s">
        <v>1171</v>
      </c>
      <c r="W45" s="204" t="s">
        <v>1165</v>
      </c>
      <c r="X45" s="207" t="s">
        <v>1173</v>
      </c>
      <c r="Y45" s="103" t="s">
        <v>1219</v>
      </c>
      <c r="Z45" s="78" t="e">
        <f>INDEX(backgrounds!$B$3:$P$12,W9,$T$7)</f>
        <v>#N/A</v>
      </c>
      <c r="AA45" s="81"/>
      <c r="AB45" s="81"/>
      <c r="AG45" s="79" t="s">
        <v>101</v>
      </c>
      <c r="AH45" s="292"/>
      <c r="AI45" s="292"/>
      <c r="AJ45" s="292"/>
      <c r="AK45" s="292"/>
    </row>
    <row r="46" spans="2:37" ht="15" customHeight="1" x14ac:dyDescent="0.25">
      <c r="B46" s="66" t="s">
        <v>213</v>
      </c>
      <c r="C46" s="66">
        <f t="shared" si="1"/>
        <v>0</v>
      </c>
      <c r="D46" s="35"/>
      <c r="E46" s="66">
        <f t="shared" si="2"/>
        <v>0</v>
      </c>
      <c r="G46" s="66" t="s">
        <v>1009</v>
      </c>
      <c r="N46" s="149"/>
      <c r="O46" s="142">
        <f t="shared" si="3"/>
        <v>0</v>
      </c>
      <c r="S46" s="80" t="s">
        <v>47</v>
      </c>
      <c r="T46" s="81" t="s">
        <v>46</v>
      </c>
      <c r="U46" s="103" t="s">
        <v>541</v>
      </c>
      <c r="V46" s="81" t="s">
        <v>36</v>
      </c>
      <c r="W46" s="81" t="s">
        <v>34</v>
      </c>
      <c r="X46" s="82" t="s">
        <v>502</v>
      </c>
      <c r="Y46" s="103" t="s">
        <v>1219</v>
      </c>
      <c r="Z46" s="86" t="e">
        <f>INDEX(backgrounds!$B$3:$P$12,W10,$T$7)</f>
        <v>#N/A</v>
      </c>
      <c r="AA46" s="81"/>
      <c r="AB46" s="81"/>
      <c r="AG46" s="79" t="s">
        <v>101</v>
      </c>
      <c r="AH46" s="292" t="s">
        <v>995</v>
      </c>
      <c r="AI46" s="292"/>
      <c r="AJ46" s="292"/>
      <c r="AK46" s="292"/>
    </row>
    <row r="47" spans="2:37" ht="15" customHeight="1" x14ac:dyDescent="0.25">
      <c r="B47" s="66" t="s">
        <v>214</v>
      </c>
      <c r="C47" s="66">
        <f t="shared" si="1"/>
        <v>0</v>
      </c>
      <c r="D47" s="35"/>
      <c r="E47" s="66">
        <f t="shared" si="2"/>
        <v>0</v>
      </c>
      <c r="N47" s="149"/>
      <c r="O47" s="142">
        <f t="shared" si="3"/>
        <v>0</v>
      </c>
      <c r="S47" s="80" t="s">
        <v>26</v>
      </c>
      <c r="T47" s="81" t="s">
        <v>25</v>
      </c>
      <c r="U47" s="103" t="s">
        <v>498</v>
      </c>
      <c r="V47" s="81" t="s">
        <v>24</v>
      </c>
      <c r="W47" s="81" t="s">
        <v>22</v>
      </c>
      <c r="X47" s="82" t="s">
        <v>497</v>
      </c>
      <c r="Y47" s="103" t="s">
        <v>1219</v>
      </c>
      <c r="Z47" s="86" t="e">
        <f>INDEX(backgrounds!$B$3:$P$12,W11,$T$7)</f>
        <v>#N/A</v>
      </c>
      <c r="AA47" s="81"/>
      <c r="AB47" s="81"/>
      <c r="AG47" s="79" t="s">
        <v>101</v>
      </c>
      <c r="AH47" s="292" t="s">
        <v>1003</v>
      </c>
      <c r="AI47" s="292"/>
      <c r="AJ47" s="292"/>
      <c r="AK47" s="292"/>
    </row>
    <row r="48" spans="2:37" x14ac:dyDescent="0.25">
      <c r="B48" s="66" t="s">
        <v>215</v>
      </c>
      <c r="C48" s="66">
        <f t="shared" si="1"/>
        <v>0</v>
      </c>
      <c r="D48" s="35"/>
      <c r="E48" s="66">
        <f t="shared" si="2"/>
        <v>0</v>
      </c>
      <c r="N48" s="149"/>
      <c r="O48" s="142">
        <f t="shared" si="3"/>
        <v>0</v>
      </c>
      <c r="S48" s="90" t="s">
        <v>20</v>
      </c>
      <c r="T48" s="91" t="s">
        <v>19</v>
      </c>
      <c r="U48" s="91" t="s">
        <v>494</v>
      </c>
      <c r="V48" s="91" t="s">
        <v>33</v>
      </c>
      <c r="W48" s="91" t="s">
        <v>31</v>
      </c>
      <c r="X48" s="92" t="s">
        <v>501</v>
      </c>
      <c r="Y48" s="103" t="s">
        <v>1219</v>
      </c>
      <c r="Z48" s="86" t="e">
        <f>INDEX(backgrounds!$B$3:$P$12,W12,$T$7)</f>
        <v>#N/A</v>
      </c>
      <c r="AA48" s="81"/>
      <c r="AB48" s="81"/>
      <c r="AG48" s="79" t="s">
        <v>101</v>
      </c>
      <c r="AH48" s="292"/>
      <c r="AI48" s="292"/>
      <c r="AJ48" s="292"/>
      <c r="AK48" s="292"/>
    </row>
    <row r="49" spans="2:37" x14ac:dyDescent="0.25">
      <c r="B49" s="66" t="s">
        <v>216</v>
      </c>
      <c r="C49" s="66">
        <f t="shared" si="1"/>
        <v>0</v>
      </c>
      <c r="D49" s="35"/>
      <c r="E49" s="66">
        <f t="shared" si="2"/>
        <v>0</v>
      </c>
      <c r="N49" s="149"/>
      <c r="O49" s="142">
        <f t="shared" si="3"/>
        <v>0</v>
      </c>
      <c r="Z49" s="86" t="e">
        <f>INDEX(backgrounds!$B$3:$P$12,W13,$T$7)</f>
        <v>#N/A</v>
      </c>
      <c r="AA49" s="81"/>
      <c r="AB49" s="81"/>
      <c r="AG49" s="79" t="s">
        <v>101</v>
      </c>
      <c r="AH49" s="292" t="s">
        <v>1004</v>
      </c>
      <c r="AI49" s="292"/>
      <c r="AJ49" s="292"/>
      <c r="AK49" s="292"/>
    </row>
    <row r="50" spans="2:37" ht="15" customHeight="1" x14ac:dyDescent="0.25">
      <c r="B50" s="66" t="s">
        <v>217</v>
      </c>
      <c r="C50" s="66">
        <f t="shared" si="1"/>
        <v>0</v>
      </c>
      <c r="D50" s="35"/>
      <c r="E50" s="66">
        <f t="shared" si="2"/>
        <v>0</v>
      </c>
      <c r="N50" s="149"/>
      <c r="O50" s="142">
        <f t="shared" si="3"/>
        <v>0</v>
      </c>
      <c r="S50" s="68" t="s">
        <v>127</v>
      </c>
      <c r="V50" s="97" t="s">
        <v>92</v>
      </c>
      <c r="W50" s="77"/>
      <c r="X50" s="68" t="s">
        <v>1219</v>
      </c>
      <c r="Z50" s="86" t="e">
        <f>INDEX(backgrounds!$B$3:$P$12,W14,$T$7)</f>
        <v>#N/A</v>
      </c>
      <c r="AA50" s="81"/>
      <c r="AB50" s="81"/>
      <c r="AG50" s="79" t="s">
        <v>101</v>
      </c>
      <c r="AH50" s="292"/>
      <c r="AI50" s="292"/>
      <c r="AJ50" s="292"/>
      <c r="AK50" s="292"/>
    </row>
    <row r="51" spans="2:37" ht="15" customHeight="1" x14ac:dyDescent="0.25">
      <c r="B51" s="66" t="s">
        <v>218</v>
      </c>
      <c r="C51" s="66">
        <f t="shared" si="1"/>
        <v>0</v>
      </c>
      <c r="D51" s="35"/>
      <c r="E51" s="66">
        <f t="shared" si="2"/>
        <v>0</v>
      </c>
      <c r="N51" s="149"/>
      <c r="O51" s="142">
        <f t="shared" si="3"/>
        <v>0</v>
      </c>
      <c r="S51" s="68" t="e">
        <f>IF(OR(B30=E30,B31=E30,B32=E30),E30,0)</f>
        <v>#N/A</v>
      </c>
      <c r="T51" s="68" t="e">
        <f>IF(S51&lt;&gt;0,VLOOKUP(S51,advantages!$C$6:$D$135,2),0)</f>
        <v>#N/A</v>
      </c>
      <c r="V51" s="86" t="s">
        <v>93</v>
      </c>
      <c r="W51" s="82" t="s">
        <v>973</v>
      </c>
      <c r="X51" s="68" t="s">
        <v>1219</v>
      </c>
      <c r="Z51" s="86" t="e">
        <f>INDEX(backgrounds!$B$3:$P$12,W15,$T$7)</f>
        <v>#N/A</v>
      </c>
      <c r="AA51" s="81"/>
      <c r="AB51" s="81"/>
      <c r="AG51" s="79" t="s">
        <v>101</v>
      </c>
      <c r="AH51" s="292"/>
      <c r="AI51" s="292"/>
      <c r="AJ51" s="292"/>
      <c r="AK51" s="292"/>
    </row>
    <row r="52" spans="2:37" ht="15" customHeight="1" x14ac:dyDescent="0.25">
      <c r="B52" s="66" t="s">
        <v>219</v>
      </c>
      <c r="C52" s="66">
        <f t="shared" si="1"/>
        <v>0</v>
      </c>
      <c r="D52" s="35"/>
      <c r="E52" s="66">
        <f t="shared" si="2"/>
        <v>0</v>
      </c>
      <c r="N52" s="149"/>
      <c r="O52" s="142">
        <f t="shared" si="3"/>
        <v>0</v>
      </c>
      <c r="S52" s="68" t="e">
        <f>IF(E31="",0,IF(OR(B31=E31,B32=E31,B30=E31),E31,0))</f>
        <v>#N/A</v>
      </c>
      <c r="T52" s="68" t="e">
        <f>IF(S52&lt;&gt;0,VLOOKUP(S52,advantages!$C$6:$D$135,2),0)</f>
        <v>#N/A</v>
      </c>
      <c r="V52" s="86" t="s">
        <v>94</v>
      </c>
      <c r="W52" s="82" t="s">
        <v>974</v>
      </c>
      <c r="X52" s="68" t="s">
        <v>1219</v>
      </c>
      <c r="Z52" s="86" t="e">
        <f>INDEX(backgrounds!$B$3:$P$12,W16,$T$7)</f>
        <v>#N/A</v>
      </c>
      <c r="AA52" s="81"/>
      <c r="AB52" s="81"/>
      <c r="AG52" s="79" t="s">
        <v>101</v>
      </c>
      <c r="AH52" s="292" t="s">
        <v>1002</v>
      </c>
      <c r="AI52" s="292"/>
      <c r="AJ52" s="292"/>
      <c r="AK52" s="292"/>
    </row>
    <row r="53" spans="2:37" x14ac:dyDescent="0.25">
      <c r="B53" s="66" t="s">
        <v>220</v>
      </c>
      <c r="C53" s="66">
        <f t="shared" si="1"/>
        <v>0</v>
      </c>
      <c r="D53" s="35"/>
      <c r="E53" s="66">
        <f t="shared" si="2"/>
        <v>0</v>
      </c>
      <c r="N53" s="149"/>
      <c r="O53" s="142">
        <f t="shared" si="3"/>
        <v>0</v>
      </c>
      <c r="S53" s="68" t="e">
        <f>IF(E32="",0,IF(OR(B32=E32,B30=E32,B31=E32),E32,0))</f>
        <v>#N/A</v>
      </c>
      <c r="T53" s="68" t="e">
        <f>IF(S53&lt;&gt;0,VLOOKUP(S53,advantages!$C$6:$D$135,2),0)</f>
        <v>#N/A</v>
      </c>
      <c r="V53" s="86" t="s">
        <v>95</v>
      </c>
      <c r="W53" s="82" t="s">
        <v>975</v>
      </c>
      <c r="X53" s="68" t="s">
        <v>1219</v>
      </c>
      <c r="Z53" s="98" t="e">
        <f>INDEX(backgrounds!$B$3:$P$12,W17,$T$7)</f>
        <v>#N/A</v>
      </c>
      <c r="AA53" s="81"/>
      <c r="AB53" s="81"/>
      <c r="AG53" s="79" t="s">
        <v>101</v>
      </c>
      <c r="AH53" s="292" t="s">
        <v>1001</v>
      </c>
      <c r="AI53" s="292"/>
      <c r="AJ53" s="292"/>
      <c r="AK53" s="292"/>
    </row>
    <row r="54" spans="2:37" x14ac:dyDescent="0.25">
      <c r="B54" s="66" t="s">
        <v>221</v>
      </c>
      <c r="C54" s="66">
        <f t="shared" si="1"/>
        <v>0</v>
      </c>
      <c r="D54" s="35"/>
      <c r="E54" s="66">
        <f t="shared" si="2"/>
        <v>0</v>
      </c>
      <c r="N54" s="149"/>
      <c r="O54" s="142">
        <f t="shared" si="3"/>
        <v>0</v>
      </c>
      <c r="V54" s="86" t="s">
        <v>96</v>
      </c>
      <c r="W54" s="82" t="s">
        <v>976</v>
      </c>
      <c r="X54" s="68" t="s">
        <v>1219</v>
      </c>
      <c r="AG54" s="79" t="s">
        <v>101</v>
      </c>
      <c r="AH54" s="292"/>
      <c r="AI54" s="292"/>
      <c r="AJ54" s="292"/>
      <c r="AK54" s="292"/>
    </row>
    <row r="55" spans="2:37" x14ac:dyDescent="0.25">
      <c r="B55" s="66" t="s">
        <v>222</v>
      </c>
      <c r="C55" s="66">
        <f t="shared" si="1"/>
        <v>0</v>
      </c>
      <c r="D55" s="35"/>
      <c r="E55" s="66">
        <f t="shared" si="2"/>
        <v>0</v>
      </c>
      <c r="N55" s="149"/>
      <c r="O55" s="142">
        <f t="shared" si="3"/>
        <v>0</v>
      </c>
      <c r="S55" s="68" t="s">
        <v>117</v>
      </c>
      <c r="T55" s="68">
        <f>IF(OR($B$17=S13,$B$17=S9,$B$17=S12),1,0)</f>
        <v>0</v>
      </c>
      <c r="V55" s="86" t="s">
        <v>213</v>
      </c>
      <c r="W55" s="82" t="s">
        <v>977</v>
      </c>
      <c r="X55" s="68" t="s">
        <v>1219</v>
      </c>
      <c r="AG55" s="79" t="s">
        <v>101</v>
      </c>
      <c r="AH55" s="292" t="s">
        <v>1000</v>
      </c>
      <c r="AI55" s="292"/>
      <c r="AJ55" s="292"/>
      <c r="AK55" s="292"/>
    </row>
    <row r="56" spans="2:37" x14ac:dyDescent="0.25">
      <c r="B56" s="66" t="s">
        <v>223</v>
      </c>
      <c r="C56" s="66">
        <f t="shared" si="1"/>
        <v>0</v>
      </c>
      <c r="D56" s="35"/>
      <c r="E56" s="66">
        <f t="shared" si="2"/>
        <v>0</v>
      </c>
      <c r="N56" s="149"/>
      <c r="O56" s="142">
        <f t="shared" si="3"/>
        <v>0</v>
      </c>
      <c r="S56" s="68" t="s">
        <v>115</v>
      </c>
      <c r="T56" s="68" t="e">
        <f>VLOOKUP($B$17,$S$8:$U$22,2)</f>
        <v>#N/A</v>
      </c>
      <c r="V56" s="86" t="s">
        <v>214</v>
      </c>
      <c r="W56" s="82" t="s">
        <v>978</v>
      </c>
      <c r="X56" s="68" t="s">
        <v>1219</v>
      </c>
      <c r="AG56" s="79" t="s">
        <v>101</v>
      </c>
      <c r="AH56" s="292"/>
      <c r="AI56" s="292"/>
      <c r="AJ56" s="292"/>
      <c r="AK56" s="292"/>
    </row>
    <row r="57" spans="2:37" x14ac:dyDescent="0.25">
      <c r="B57" s="66" t="s">
        <v>224</v>
      </c>
      <c r="C57" s="66">
        <f t="shared" si="1"/>
        <v>0</v>
      </c>
      <c r="D57" s="36"/>
      <c r="E57" s="66">
        <f t="shared" si="2"/>
        <v>0</v>
      </c>
      <c r="N57" s="149"/>
      <c r="O57" s="142">
        <f t="shared" si="3"/>
        <v>0</v>
      </c>
      <c r="S57" s="68" t="s">
        <v>115</v>
      </c>
      <c r="T57" s="68" t="e">
        <f>VLOOKUP($B$17,$S$8:$U$22,3)</f>
        <v>#N/A</v>
      </c>
      <c r="V57" s="86" t="s">
        <v>215</v>
      </c>
      <c r="W57" s="82" t="s">
        <v>979</v>
      </c>
      <c r="X57" s="68" t="s">
        <v>1219</v>
      </c>
      <c r="AG57" s="79" t="s">
        <v>101</v>
      </c>
      <c r="AH57" s="292"/>
      <c r="AI57" s="292"/>
      <c r="AJ57" s="292"/>
      <c r="AK57" s="292"/>
    </row>
    <row r="58" spans="2:37" x14ac:dyDescent="0.25">
      <c r="V58" s="86" t="s">
        <v>216</v>
      </c>
      <c r="W58" s="82" t="s">
        <v>980</v>
      </c>
      <c r="X58" s="68" t="s">
        <v>1219</v>
      </c>
      <c r="AG58" s="79" t="s">
        <v>101</v>
      </c>
      <c r="AH58" s="292" t="s">
        <v>999</v>
      </c>
      <c r="AI58" s="292"/>
      <c r="AJ58" s="292"/>
      <c r="AK58" s="292"/>
    </row>
    <row r="59" spans="2:37" ht="18.75" x14ac:dyDescent="0.3">
      <c r="B59" s="71" t="s">
        <v>0</v>
      </c>
      <c r="D59" s="66" t="s">
        <v>12</v>
      </c>
      <c r="F59" s="72" t="s">
        <v>129</v>
      </c>
      <c r="G59" s="73" t="e">
        <f>5+H30-SUM(D67:D74)</f>
        <v>#N/A</v>
      </c>
      <c r="V59" s="86" t="s">
        <v>217</v>
      </c>
      <c r="W59" s="82" t="s">
        <v>981</v>
      </c>
      <c r="X59" s="68" t="s">
        <v>1219</v>
      </c>
      <c r="AG59" s="79" t="s">
        <v>101</v>
      </c>
      <c r="AH59" s="292"/>
      <c r="AI59" s="292"/>
      <c r="AJ59" s="292"/>
      <c r="AK59" s="292"/>
    </row>
    <row r="60" spans="2:37" x14ac:dyDescent="0.25">
      <c r="B60" s="283" t="e">
        <f>B30</f>
        <v>#N/A</v>
      </c>
      <c r="C60" s="283"/>
      <c r="D60" s="66" t="e">
        <f>IF(B60&lt;&gt;"",VLOOKUP(B60,advantages!$C$6:$D$135,2),0)</f>
        <v>#N/A</v>
      </c>
      <c r="E60" s="150"/>
      <c r="F60" s="283"/>
      <c r="G60" s="283"/>
      <c r="H60" s="283"/>
      <c r="I60" s="283"/>
      <c r="J60" s="283"/>
      <c r="K60" s="283"/>
      <c r="V60" s="86" t="s">
        <v>218</v>
      </c>
      <c r="W60" s="82" t="s">
        <v>982</v>
      </c>
      <c r="X60" s="68" t="s">
        <v>1219</v>
      </c>
      <c r="AG60" s="79" t="s">
        <v>101</v>
      </c>
      <c r="AH60" s="292" t="s">
        <v>998</v>
      </c>
      <c r="AI60" s="292"/>
      <c r="AJ60" s="292"/>
      <c r="AK60" s="292"/>
    </row>
    <row r="61" spans="2:37" x14ac:dyDescent="0.25">
      <c r="B61" s="283" t="e">
        <f>B31</f>
        <v>#N/A</v>
      </c>
      <c r="C61" s="283"/>
      <c r="D61" s="239" t="e">
        <f>IF(B61&lt;&gt;"",VLOOKUP(B61,advantages!$C$6:$D$135,2),0)</f>
        <v>#N/A</v>
      </c>
      <c r="E61" s="150"/>
      <c r="F61" s="283"/>
      <c r="G61" s="283"/>
      <c r="H61" s="283"/>
      <c r="I61" s="283"/>
      <c r="J61" s="283"/>
      <c r="K61" s="283"/>
      <c r="V61" s="86" t="s">
        <v>219</v>
      </c>
      <c r="W61" s="82" t="s">
        <v>983</v>
      </c>
      <c r="X61" s="68" t="s">
        <v>1219</v>
      </c>
      <c r="AG61" s="79" t="s">
        <v>101</v>
      </c>
      <c r="AH61" s="292"/>
      <c r="AI61" s="292"/>
      <c r="AJ61" s="292"/>
      <c r="AK61" s="292"/>
    </row>
    <row r="62" spans="2:37" x14ac:dyDescent="0.25">
      <c r="B62" s="283" t="e">
        <f>IF(OR(B30=E30,B31=E30),"",E30)</f>
        <v>#N/A</v>
      </c>
      <c r="C62" s="283"/>
      <c r="D62" s="239" t="e">
        <f>IF(B62&lt;&gt;"",VLOOKUP(B62,advantages!$C$6:$D$135,2),0)</f>
        <v>#N/A</v>
      </c>
      <c r="E62" s="150"/>
      <c r="F62" s="283"/>
      <c r="G62" s="283"/>
      <c r="H62" s="283"/>
      <c r="I62" s="283"/>
      <c r="J62" s="283"/>
      <c r="K62" s="283"/>
      <c r="V62" s="86" t="s">
        <v>220</v>
      </c>
      <c r="W62" s="82" t="s">
        <v>984</v>
      </c>
      <c r="X62" s="68" t="s">
        <v>1219</v>
      </c>
      <c r="AG62" s="79" t="s">
        <v>101</v>
      </c>
      <c r="AH62" s="292" t="s">
        <v>997</v>
      </c>
      <c r="AI62" s="292"/>
      <c r="AJ62" s="292"/>
      <c r="AK62" s="292"/>
    </row>
    <row r="63" spans="2:37" x14ac:dyDescent="0.25">
      <c r="B63" s="283" t="e">
        <f>IF(OR(B31=E31,B30=E31),"",E31)</f>
        <v>#N/A</v>
      </c>
      <c r="C63" s="283"/>
      <c r="D63" s="239" t="e">
        <f>IF(B63&lt;&gt;"",VLOOKUP(B63,advantages!$C$6:$D$135,2),0)</f>
        <v>#N/A</v>
      </c>
      <c r="E63" s="150"/>
      <c r="F63" s="283"/>
      <c r="G63" s="283"/>
      <c r="H63" s="283"/>
      <c r="I63" s="283"/>
      <c r="J63" s="283"/>
      <c r="K63" s="283"/>
      <c r="V63" s="86" t="s">
        <v>221</v>
      </c>
      <c r="W63" s="82" t="s">
        <v>985</v>
      </c>
      <c r="X63" s="68" t="s">
        <v>1219</v>
      </c>
      <c r="AG63" s="79" t="s">
        <v>101</v>
      </c>
      <c r="AH63" s="292"/>
      <c r="AI63" s="292"/>
      <c r="AJ63" s="292"/>
      <c r="AK63" s="292"/>
    </row>
    <row r="64" spans="2:37" x14ac:dyDescent="0.25">
      <c r="B64" s="283" t="e">
        <f>IF(B32="","",IF(OR(E30=B32,E31=B32),"",B32))</f>
        <v>#N/A</v>
      </c>
      <c r="C64" s="283"/>
      <c r="D64" s="239" t="e">
        <f>IF(B64&lt;&gt;"",VLOOKUP(B64,advantages!$C$6:$D$135,2),0)</f>
        <v>#N/A</v>
      </c>
      <c r="E64" s="150"/>
      <c r="F64" s="283"/>
      <c r="G64" s="283"/>
      <c r="H64" s="283"/>
      <c r="I64" s="283"/>
      <c r="J64" s="283"/>
      <c r="K64" s="283"/>
      <c r="V64" s="86" t="s">
        <v>222</v>
      </c>
      <c r="W64" s="82" t="s">
        <v>986</v>
      </c>
      <c r="X64" s="68" t="s">
        <v>1219</v>
      </c>
      <c r="AG64" s="79" t="s">
        <v>101</v>
      </c>
      <c r="AH64" s="297" t="s">
        <v>996</v>
      </c>
      <c r="AI64" s="297"/>
      <c r="AJ64" s="297"/>
      <c r="AK64" s="297"/>
    </row>
    <row r="65" spans="1:37" x14ac:dyDescent="0.25">
      <c r="B65" s="284" t="e">
        <f>IF(E32="","",IF(OR(B30=E32,B31=E32,B32=E32),"",E32))</f>
        <v>#N/A</v>
      </c>
      <c r="C65" s="284"/>
      <c r="D65" s="239" t="e">
        <f>IF(B65&lt;&gt;"",VLOOKUP(B65,advantages!$C$6:$D$135,2),0)</f>
        <v>#N/A</v>
      </c>
      <c r="E65" s="150"/>
      <c r="F65" s="283"/>
      <c r="G65" s="283"/>
      <c r="H65" s="283"/>
      <c r="I65" s="283"/>
      <c r="J65" s="283"/>
      <c r="K65" s="283"/>
      <c r="V65" s="86" t="s">
        <v>223</v>
      </c>
      <c r="W65" s="82" t="s">
        <v>987</v>
      </c>
      <c r="X65" s="68" t="s">
        <v>1219</v>
      </c>
      <c r="AF65" s="103"/>
      <c r="AG65" s="79" t="s">
        <v>101</v>
      </c>
      <c r="AJ65" s="172"/>
      <c r="AK65" s="172"/>
    </row>
    <row r="66" spans="1:37" x14ac:dyDescent="0.25">
      <c r="E66" s="150"/>
      <c r="F66" s="283"/>
      <c r="G66" s="283"/>
      <c r="H66" s="283"/>
      <c r="I66" s="283"/>
      <c r="J66" s="283"/>
      <c r="K66" s="283"/>
      <c r="M66" s="275" t="s">
        <v>925</v>
      </c>
      <c r="N66" s="275"/>
      <c r="O66" s="275"/>
      <c r="P66" s="275"/>
      <c r="Q66" s="275"/>
      <c r="V66" s="98" t="s">
        <v>224</v>
      </c>
      <c r="W66" s="92" t="s">
        <v>988</v>
      </c>
      <c r="X66" s="68" t="s">
        <v>1219</v>
      </c>
      <c r="AF66" s="103"/>
      <c r="AG66" s="79" t="s">
        <v>101</v>
      </c>
      <c r="AH66" s="176" t="str">
        <f>print!B53</f>
        <v/>
      </c>
      <c r="AI66" s="171"/>
      <c r="AJ66" s="176" t="str">
        <f>print!B76</f>
        <v/>
      </c>
      <c r="AK66" s="171"/>
    </row>
    <row r="67" spans="1:37" x14ac:dyDescent="0.25">
      <c r="B67" s="287"/>
      <c r="C67" s="287"/>
      <c r="D67" s="243">
        <f>IF(B67&lt;&gt;"",VLOOKUP(B67,advantages!$C$6:$D$135,2),0)</f>
        <v>0</v>
      </c>
      <c r="E67" s="150"/>
      <c r="F67" s="283" t="str">
        <f>IF(COUNTIF(B60:C74,advantages!C28),"Select One Monster Quality","")</f>
        <v/>
      </c>
      <c r="G67" s="283"/>
      <c r="H67" s="283"/>
      <c r="I67" s="283"/>
      <c r="J67" s="283"/>
      <c r="K67" s="283"/>
      <c r="N67" s="299"/>
      <c r="O67" s="299"/>
      <c r="P67" s="140">
        <f>IF(N67&lt;&gt;"",VLOOKUP(N67,advantages!$C$6:$D$135,2),0)</f>
        <v>0</v>
      </c>
      <c r="AF67" s="103"/>
      <c r="AG67" s="79" t="s">
        <v>101</v>
      </c>
      <c r="AH67" s="294" t="str">
        <f>print!B54</f>
        <v/>
      </c>
      <c r="AI67" s="294"/>
      <c r="AJ67" s="294" t="str">
        <f>print!B77</f>
        <v/>
      </c>
      <c r="AK67" s="294"/>
    </row>
    <row r="68" spans="1:37" x14ac:dyDescent="0.25">
      <c r="B68" s="287"/>
      <c r="C68" s="287"/>
      <c r="D68" s="243">
        <f>IF(B68&lt;&gt;"",VLOOKUP(B68,advantages!$C$6:$D$135,2),0)</f>
        <v>0</v>
      </c>
      <c r="E68" s="150"/>
      <c r="F68" s="283"/>
      <c r="G68" s="283"/>
      <c r="H68" s="283"/>
      <c r="I68" s="242"/>
      <c r="J68" s="242"/>
      <c r="K68" s="242"/>
      <c r="N68" s="299"/>
      <c r="O68" s="299"/>
      <c r="P68" s="238">
        <f>IF(N68&lt;&gt;"",VLOOKUP(N68,advantages!$C$6:$D$135,2),0)</f>
        <v>0</v>
      </c>
      <c r="AF68" s="103"/>
      <c r="AG68" s="79" t="s">
        <v>101</v>
      </c>
      <c r="AH68" s="294"/>
      <c r="AI68" s="294"/>
      <c r="AJ68" s="294"/>
      <c r="AK68" s="294"/>
    </row>
    <row r="69" spans="1:37" x14ac:dyDescent="0.25">
      <c r="B69" s="287"/>
      <c r="C69" s="287"/>
      <c r="D69" s="243">
        <f>IF(B69&lt;&gt;"",VLOOKUP(B69,advantages!$C$6:$D$135,2),0)</f>
        <v>0</v>
      </c>
      <c r="E69" s="150"/>
      <c r="F69" s="296" t="str">
        <f>IF(F68&lt;&gt;"",VLOOKUP(F68,styles!O37:Q52,2),"")</f>
        <v/>
      </c>
      <c r="G69" s="296"/>
      <c r="H69" s="296"/>
      <c r="I69" s="296"/>
      <c r="J69" s="296"/>
      <c r="K69" s="296"/>
      <c r="N69" s="299"/>
      <c r="O69" s="299"/>
      <c r="P69" s="238">
        <f>IF(N69&lt;&gt;"",VLOOKUP(N69,advantages!$C$6:$D$135,2),0)</f>
        <v>0</v>
      </c>
      <c r="AF69" s="103"/>
      <c r="AG69" s="79" t="s">
        <v>101</v>
      </c>
      <c r="AH69" s="294"/>
      <c r="AI69" s="294"/>
      <c r="AJ69" s="294"/>
      <c r="AK69" s="294"/>
    </row>
    <row r="70" spans="1:37" x14ac:dyDescent="0.25">
      <c r="B70" s="287"/>
      <c r="C70" s="287"/>
      <c r="D70" s="243">
        <f>IF(B70&lt;&gt;"",VLOOKUP(B70,advantages!$C$6:$D$135,2),0)</f>
        <v>0</v>
      </c>
      <c r="E70" s="150"/>
      <c r="F70" s="296"/>
      <c r="G70" s="296"/>
      <c r="H70" s="296"/>
      <c r="I70" s="296"/>
      <c r="J70" s="296"/>
      <c r="K70" s="296"/>
      <c r="N70" s="299"/>
      <c r="O70" s="299"/>
      <c r="P70" s="238">
        <f>IF(N70&lt;&gt;"",VLOOKUP(N70,advantages!$C$6:$D$135,2),0)</f>
        <v>0</v>
      </c>
      <c r="AF70" s="103"/>
      <c r="AG70" s="79" t="s">
        <v>101</v>
      </c>
      <c r="AH70" s="294"/>
      <c r="AI70" s="294"/>
      <c r="AJ70" s="294"/>
      <c r="AK70" s="294"/>
    </row>
    <row r="71" spans="1:37" ht="15" customHeight="1" x14ac:dyDescent="0.25">
      <c r="B71" s="287"/>
      <c r="C71" s="287"/>
      <c r="D71" s="243">
        <f>IF(B71&lt;&gt;"",VLOOKUP(B71,advantages!$C$6:$D$135,2),0)</f>
        <v>0</v>
      </c>
      <c r="E71" s="150"/>
      <c r="F71" s="296"/>
      <c r="G71" s="296"/>
      <c r="H71" s="296"/>
      <c r="I71" s="296"/>
      <c r="J71" s="296"/>
      <c r="K71" s="296"/>
      <c r="N71" s="299"/>
      <c r="O71" s="299"/>
      <c r="P71" s="238">
        <f>IF(N71&lt;&gt;"",VLOOKUP(N71,advantages!$C$6:$D$135,2),0)</f>
        <v>0</v>
      </c>
      <c r="AF71" s="103"/>
      <c r="AG71" s="79" t="s">
        <v>101</v>
      </c>
      <c r="AH71" s="294"/>
      <c r="AI71" s="294"/>
      <c r="AJ71" s="294"/>
      <c r="AK71" s="294"/>
    </row>
    <row r="72" spans="1:37" x14ac:dyDescent="0.25">
      <c r="B72" s="287"/>
      <c r="C72" s="287"/>
      <c r="D72" s="243">
        <f>IF(B72&lt;&gt;"",VLOOKUP(B72,advantages!$C$6:$D$135,2),0)</f>
        <v>0</v>
      </c>
      <c r="E72" s="150"/>
      <c r="F72" s="296"/>
      <c r="G72" s="296"/>
      <c r="H72" s="296"/>
      <c r="I72" s="296"/>
      <c r="J72" s="296"/>
      <c r="K72" s="296"/>
      <c r="N72" s="299"/>
      <c r="O72" s="299"/>
      <c r="P72" s="238">
        <f>IF(N72&lt;&gt;"",VLOOKUP(N72,advantages!$C$6:$D$135,2),0)</f>
        <v>0</v>
      </c>
      <c r="AF72" s="103"/>
      <c r="AG72" s="79" t="s">
        <v>101</v>
      </c>
      <c r="AH72" s="294"/>
      <c r="AI72" s="294"/>
      <c r="AJ72" s="294"/>
      <c r="AK72" s="294"/>
    </row>
    <row r="73" spans="1:37" x14ac:dyDescent="0.25">
      <c r="B73" s="287"/>
      <c r="C73" s="287"/>
      <c r="D73" s="243">
        <f>IF(B73&lt;&gt;"",VLOOKUP(B73,advantages!$C$6:$D$135,2),0)</f>
        <v>0</v>
      </c>
      <c r="E73" s="150"/>
      <c r="F73" s="296"/>
      <c r="G73" s="296"/>
      <c r="H73" s="296"/>
      <c r="I73" s="296"/>
      <c r="J73" s="296"/>
      <c r="K73" s="296"/>
      <c r="N73" s="299"/>
      <c r="O73" s="299"/>
      <c r="P73" s="238">
        <f>IF(N73&lt;&gt;"",VLOOKUP(N73,advantages!$C$6:$D$135,2),0)</f>
        <v>0</v>
      </c>
      <c r="AF73" s="103"/>
      <c r="AG73" s="79" t="s">
        <v>101</v>
      </c>
      <c r="AH73" s="176" t="str">
        <f>print!B56</f>
        <v/>
      </c>
      <c r="AI73" s="171"/>
      <c r="AJ73" s="176" t="str">
        <f>print!B79</f>
        <v/>
      </c>
      <c r="AK73" s="171"/>
    </row>
    <row r="74" spans="1:37" x14ac:dyDescent="0.25">
      <c r="B74" s="287"/>
      <c r="C74" s="287"/>
      <c r="D74" s="243">
        <f>IF(B74&lt;&gt;"",VLOOKUP(B74,advantages!$C$6:$D$135,2),0)</f>
        <v>0</v>
      </c>
      <c r="E74" s="150"/>
      <c r="F74" s="296"/>
      <c r="G74" s="296"/>
      <c r="H74" s="296"/>
      <c r="I74" s="296"/>
      <c r="J74" s="296"/>
      <c r="K74" s="296"/>
      <c r="N74" s="299"/>
      <c r="O74" s="299"/>
      <c r="P74" s="238">
        <f>IF(N74&lt;&gt;"",VLOOKUP(N74,advantages!$C$6:$D$135,2),0)</f>
        <v>0</v>
      </c>
      <c r="AF74" s="103"/>
      <c r="AG74" s="79" t="s">
        <v>101</v>
      </c>
      <c r="AH74" s="294" t="str">
        <f>print!B57</f>
        <v/>
      </c>
      <c r="AI74" s="294"/>
      <c r="AJ74" s="294" t="str">
        <f>print!B80</f>
        <v/>
      </c>
      <c r="AK74" s="294"/>
    </row>
    <row r="75" spans="1:37" x14ac:dyDescent="0.25">
      <c r="A75" s="161"/>
      <c r="B75" s="161"/>
      <c r="C75" s="161"/>
      <c r="D75" s="243">
        <f>IF(B75&lt;&gt;"",VLOOKUP(B75,advantages!$C$6:$D$135,2),0)</f>
        <v>0</v>
      </c>
      <c r="E75" s="161"/>
      <c r="F75" s="296"/>
      <c r="G75" s="296"/>
      <c r="H75" s="296"/>
      <c r="I75" s="296"/>
      <c r="J75" s="296"/>
      <c r="K75" s="296"/>
      <c r="M75" s="162"/>
      <c r="N75" s="162"/>
      <c r="O75" s="162"/>
      <c r="P75" s="238">
        <f>IF(N75&lt;&gt;"",VLOOKUP(N75,advantages!$C$6:$D$135,2),0)</f>
        <v>0</v>
      </c>
      <c r="Q75" s="162"/>
      <c r="AF75" s="103"/>
      <c r="AG75" s="79" t="s">
        <v>101</v>
      </c>
      <c r="AH75" s="294"/>
      <c r="AI75" s="294"/>
      <c r="AJ75" s="294"/>
      <c r="AK75" s="294"/>
    </row>
    <row r="76" spans="1:37" x14ac:dyDescent="0.25">
      <c r="B76" s="70" t="s">
        <v>132</v>
      </c>
      <c r="O76" s="140" t="str">
        <f>IF(O102&lt;&gt;"",VLOOKUP(O102,V26:W48,2),"")</f>
        <v/>
      </c>
      <c r="P76" s="238">
        <f>IF(N76&lt;&gt;"",VLOOKUP(N76,advantages!$C$6:$D$135,2),0)</f>
        <v>0</v>
      </c>
      <c r="S76" s="97" t="s">
        <v>79</v>
      </c>
      <c r="AF76" s="103"/>
      <c r="AG76" s="79"/>
      <c r="AH76" s="294"/>
      <c r="AI76" s="294"/>
      <c r="AJ76" s="294"/>
      <c r="AK76" s="294"/>
    </row>
    <row r="77" spans="1:37" x14ac:dyDescent="0.25">
      <c r="B77" s="66" t="s">
        <v>382</v>
      </c>
      <c r="G77" s="150" t="s">
        <v>964</v>
      </c>
      <c r="H77" s="150"/>
      <c r="P77" s="238">
        <f>IF(N77&lt;&gt;"",VLOOKUP(N77,advantages!$C$6:$D$135,2),0)</f>
        <v>0</v>
      </c>
      <c r="S77" s="203" t="s">
        <v>1174</v>
      </c>
      <c r="AF77" s="103"/>
      <c r="AG77" s="79"/>
      <c r="AH77" s="294"/>
      <c r="AI77" s="294"/>
      <c r="AJ77" s="294"/>
      <c r="AK77" s="294"/>
    </row>
    <row r="78" spans="1:37" x14ac:dyDescent="0.25">
      <c r="B78" s="280"/>
      <c r="C78" s="282"/>
      <c r="D78" s="282"/>
      <c r="E78" s="281"/>
      <c r="G78" s="280"/>
      <c r="H78" s="281"/>
      <c r="S78" s="86" t="s">
        <v>80</v>
      </c>
      <c r="AF78" s="103"/>
      <c r="AG78" s="79"/>
      <c r="AH78" s="294"/>
      <c r="AI78" s="294"/>
      <c r="AJ78" s="294"/>
      <c r="AK78" s="294"/>
    </row>
    <row r="79" spans="1:37" x14ac:dyDescent="0.25">
      <c r="S79" s="86" t="s">
        <v>81</v>
      </c>
      <c r="AF79" s="103"/>
      <c r="AG79" s="79"/>
      <c r="AH79" s="294"/>
      <c r="AI79" s="294"/>
      <c r="AJ79" s="294"/>
      <c r="AK79" s="294"/>
    </row>
    <row r="80" spans="1:37" x14ac:dyDescent="0.25">
      <c r="A80" s="150"/>
      <c r="B80" s="66" t="s">
        <v>383</v>
      </c>
      <c r="C80" s="150"/>
      <c r="D80" s="150"/>
      <c r="E80" s="150"/>
      <c r="F80" s="150"/>
      <c r="G80" s="150"/>
      <c r="H80" s="150"/>
      <c r="I80" s="150"/>
      <c r="J80" s="150"/>
      <c r="K80" s="150"/>
      <c r="S80" s="86" t="s">
        <v>82</v>
      </c>
      <c r="AF80" s="103"/>
      <c r="AG80" s="79"/>
      <c r="AH80" s="176" t="str">
        <f>print!B59</f>
        <v/>
      </c>
      <c r="AI80" s="171"/>
      <c r="AJ80" s="176" t="str">
        <f>print!B82</f>
        <v/>
      </c>
      <c r="AK80" s="171"/>
    </row>
    <row r="81" spans="1:37" x14ac:dyDescent="0.25">
      <c r="A81" s="150"/>
      <c r="B81" s="309"/>
      <c r="C81" s="310"/>
      <c r="D81" s="310"/>
      <c r="E81" s="310"/>
      <c r="F81" s="310"/>
      <c r="G81" s="310"/>
      <c r="H81" s="311"/>
      <c r="I81" s="150"/>
      <c r="J81" s="150"/>
      <c r="K81" s="150"/>
      <c r="S81" s="203" t="s">
        <v>1175</v>
      </c>
      <c r="AF81" s="103"/>
      <c r="AG81" s="79"/>
      <c r="AH81" s="294" t="str">
        <f>print!B60</f>
        <v/>
      </c>
      <c r="AI81" s="294"/>
      <c r="AJ81" s="294" t="str">
        <f>print!B83</f>
        <v/>
      </c>
      <c r="AK81" s="294"/>
    </row>
    <row r="82" spans="1:37" x14ac:dyDescent="0.25">
      <c r="B82" s="66" t="s">
        <v>384</v>
      </c>
      <c r="N82" s="145" t="s">
        <v>930</v>
      </c>
      <c r="S82" s="86" t="s">
        <v>83</v>
      </c>
      <c r="AF82" s="103"/>
      <c r="AG82" s="79"/>
      <c r="AH82" s="294"/>
      <c r="AI82" s="294"/>
      <c r="AJ82" s="294"/>
      <c r="AK82" s="294"/>
    </row>
    <row r="83" spans="1:37" x14ac:dyDescent="0.25">
      <c r="B83" s="280"/>
      <c r="C83" s="282"/>
      <c r="D83" s="282"/>
      <c r="E83" s="282"/>
      <c r="F83" s="282"/>
      <c r="G83" s="282"/>
      <c r="H83" s="281"/>
      <c r="N83" s="308" t="s">
        <v>931</v>
      </c>
      <c r="O83" s="308"/>
      <c r="P83" s="149"/>
      <c r="S83" s="86" t="s">
        <v>84</v>
      </c>
      <c r="AF83" s="103"/>
      <c r="AG83" s="79"/>
      <c r="AH83" s="294"/>
      <c r="AI83" s="294"/>
      <c r="AJ83" s="294"/>
      <c r="AK83" s="294"/>
    </row>
    <row r="84" spans="1:37" x14ac:dyDescent="0.25">
      <c r="B84" s="66" t="s">
        <v>385</v>
      </c>
      <c r="N84" s="140" t="s">
        <v>932</v>
      </c>
      <c r="S84" s="203" t="s">
        <v>1176</v>
      </c>
      <c r="AF84" s="103"/>
      <c r="AH84" s="294"/>
      <c r="AI84" s="294"/>
      <c r="AJ84" s="294"/>
      <c r="AK84" s="294"/>
    </row>
    <row r="85" spans="1:37" x14ac:dyDescent="0.25">
      <c r="B85" s="280"/>
      <c r="C85" s="282"/>
      <c r="D85" s="282"/>
      <c r="E85" s="282"/>
      <c r="F85" s="282"/>
      <c r="G85" s="282"/>
      <c r="H85" s="281"/>
      <c r="N85" s="308" t="s">
        <v>933</v>
      </c>
      <c r="O85" s="308"/>
      <c r="P85" s="149"/>
      <c r="S85" s="86" t="s">
        <v>85</v>
      </c>
      <c r="AF85" s="103"/>
      <c r="AH85" s="294"/>
      <c r="AI85" s="294"/>
      <c r="AJ85" s="294"/>
      <c r="AK85" s="294"/>
    </row>
    <row r="86" spans="1:37" x14ac:dyDescent="0.25">
      <c r="N86" s="308" t="s">
        <v>934</v>
      </c>
      <c r="O86" s="308"/>
      <c r="P86" s="142">
        <f>P83-P85</f>
        <v>0</v>
      </c>
      <c r="S86" s="86" t="s">
        <v>86</v>
      </c>
      <c r="AF86" s="103"/>
      <c r="AH86" s="294"/>
      <c r="AI86" s="294"/>
      <c r="AJ86" s="294"/>
      <c r="AK86" s="294"/>
    </row>
    <row r="87" spans="1:37" x14ac:dyDescent="0.25">
      <c r="S87" s="98" t="s">
        <v>87</v>
      </c>
      <c r="AF87" s="103"/>
      <c r="AH87" s="176" t="str">
        <f>print!B62</f>
        <v/>
      </c>
      <c r="AI87" s="171"/>
      <c r="AJ87" s="176" t="str">
        <f>print!B85</f>
        <v/>
      </c>
      <c r="AK87" s="171"/>
    </row>
    <row r="88" spans="1:37" x14ac:dyDescent="0.25">
      <c r="B88" s="70" t="s">
        <v>133</v>
      </c>
      <c r="F88" s="70" t="s">
        <v>148</v>
      </c>
      <c r="AF88" s="103"/>
      <c r="AH88" s="294" t="str">
        <f>print!B63</f>
        <v/>
      </c>
      <c r="AI88" s="294"/>
      <c r="AJ88" s="294" t="str">
        <f>print!B86</f>
        <v/>
      </c>
      <c r="AK88" s="294"/>
    </row>
    <row r="89" spans="1:37" x14ac:dyDescent="0.25">
      <c r="B89" s="280"/>
      <c r="C89" s="281"/>
      <c r="F89" s="280"/>
      <c r="G89" s="281"/>
      <c r="S89" s="74" t="s">
        <v>88</v>
      </c>
      <c r="T89" s="77"/>
      <c r="V89" s="97" t="s">
        <v>90</v>
      </c>
      <c r="W89" s="68" t="s">
        <v>1219</v>
      </c>
      <c r="X89" s="97" t="s">
        <v>617</v>
      </c>
      <c r="Y89" s="103" t="s">
        <v>1219</v>
      </c>
      <c r="AF89" s="103"/>
      <c r="AH89" s="294"/>
      <c r="AI89" s="294"/>
      <c r="AJ89" s="294"/>
      <c r="AK89" s="294"/>
    </row>
    <row r="90" spans="1:37" x14ac:dyDescent="0.25">
      <c r="S90" s="80" t="s">
        <v>89</v>
      </c>
      <c r="T90" s="82"/>
      <c r="V90" s="86" t="s">
        <v>144</v>
      </c>
      <c r="W90" s="68" t="s">
        <v>1219</v>
      </c>
      <c r="X90" s="86" t="s">
        <v>582</v>
      </c>
      <c r="Y90" s="103" t="s">
        <v>1219</v>
      </c>
      <c r="AF90" s="103"/>
      <c r="AH90" s="294"/>
      <c r="AI90" s="294"/>
      <c r="AJ90" s="294"/>
      <c r="AK90" s="294"/>
    </row>
    <row r="91" spans="1:37" x14ac:dyDescent="0.25">
      <c r="B91" s="70" t="s">
        <v>88</v>
      </c>
      <c r="D91" s="66" t="str">
        <f>IF(COUNTIF($B$60:$C$74,$S$73),"","one per wits")</f>
        <v>one per wits</v>
      </c>
      <c r="G91" s="70" t="s">
        <v>377</v>
      </c>
      <c r="S91" s="80" t="s">
        <v>207</v>
      </c>
      <c r="T91" s="82" t="s">
        <v>134</v>
      </c>
      <c r="V91" s="86" t="s">
        <v>293</v>
      </c>
      <c r="W91" s="68" t="s">
        <v>1219</v>
      </c>
      <c r="X91" s="13" t="s">
        <v>584</v>
      </c>
      <c r="Y91" s="103" t="s">
        <v>1219</v>
      </c>
      <c r="AF91" s="103"/>
      <c r="AH91" s="294"/>
      <c r="AI91" s="294"/>
      <c r="AJ91" s="294"/>
      <c r="AK91" s="294"/>
    </row>
    <row r="92" spans="1:37" x14ac:dyDescent="0.25">
      <c r="B92" s="66" t="str">
        <f>IF(COUNTIF($B$60:$C$74,$S$73),"--",S90)</f>
        <v>Old Thean</v>
      </c>
      <c r="D92" s="160" t="str">
        <f>IF(COUNTIF($B$60:$C$74,$S$73),"","points left")</f>
        <v>points left</v>
      </c>
      <c r="E92" s="73">
        <f>IF(COUNTIF($B$60:$C$74,$S$73),"",F13-2-COUNTA(B94:B96))</f>
        <v>0</v>
      </c>
      <c r="G92" s="280"/>
      <c r="H92" s="281"/>
      <c r="S92" s="80" t="s">
        <v>208</v>
      </c>
      <c r="T92" s="82" t="s">
        <v>135</v>
      </c>
      <c r="V92" s="86" t="s">
        <v>294</v>
      </c>
      <c r="W92" s="68" t="s">
        <v>1219</v>
      </c>
      <c r="X92" s="13" t="s">
        <v>607</v>
      </c>
      <c r="Y92" s="103" t="s">
        <v>1219</v>
      </c>
      <c r="AF92" s="103"/>
      <c r="AH92" s="294"/>
      <c r="AI92" s="294"/>
      <c r="AJ92" s="294"/>
      <c r="AK92" s="294"/>
    </row>
    <row r="93" spans="1:37" x14ac:dyDescent="0.25">
      <c r="B93" s="66" t="e">
        <f>IF(COUNTIF($B$60:$C$74,$S$73),"--",VLOOKUP(B17,S91:T103,2))</f>
        <v>#N/A</v>
      </c>
      <c r="C93" s="70" t="str">
        <f>IF(COUNTIF($B$60:$C$74,$S$73),"All languages known","")</f>
        <v/>
      </c>
      <c r="S93" s="80" t="s">
        <v>136</v>
      </c>
      <c r="T93" s="82" t="s">
        <v>136</v>
      </c>
      <c r="V93" s="86" t="s">
        <v>1027</v>
      </c>
      <c r="W93" s="68" t="s">
        <v>1219</v>
      </c>
      <c r="X93" s="234" t="s">
        <v>1182</v>
      </c>
      <c r="Y93" s="103" t="s">
        <v>1219</v>
      </c>
      <c r="AF93" s="103"/>
      <c r="AH93" s="294"/>
      <c r="AI93" s="294"/>
      <c r="AJ93" s="294"/>
      <c r="AK93" s="294"/>
    </row>
    <row r="94" spans="1:37" x14ac:dyDescent="0.25">
      <c r="B94" s="55"/>
      <c r="G94" s="212" t="s">
        <v>1305</v>
      </c>
      <c r="H94" s="208" t="s">
        <v>915</v>
      </c>
      <c r="I94" s="189"/>
      <c r="S94" s="80" t="s">
        <v>209</v>
      </c>
      <c r="T94" s="82" t="s">
        <v>143</v>
      </c>
      <c r="V94" s="253" t="s">
        <v>1645</v>
      </c>
      <c r="W94" s="68" t="s">
        <v>1219</v>
      </c>
      <c r="X94" s="255" t="s">
        <v>1515</v>
      </c>
      <c r="Y94" s="103" t="s">
        <v>1219</v>
      </c>
      <c r="AF94" s="103"/>
      <c r="AH94" s="176" t="str">
        <f>print!B65</f>
        <v/>
      </c>
      <c r="AI94" s="171"/>
      <c r="AJ94" s="176" t="str">
        <f>print!B88</f>
        <v/>
      </c>
      <c r="AK94" s="171"/>
    </row>
    <row r="95" spans="1:37" x14ac:dyDescent="0.25">
      <c r="B95" s="55"/>
      <c r="G95" s="104" t="str">
        <f>IF(H94="yes","# Signers =","")</f>
        <v/>
      </c>
      <c r="S95" s="80" t="s">
        <v>210</v>
      </c>
      <c r="T95" s="82" t="s">
        <v>137</v>
      </c>
      <c r="V95" s="86" t="s">
        <v>295</v>
      </c>
      <c r="W95" s="68" t="s">
        <v>1219</v>
      </c>
      <c r="X95" s="13" t="s">
        <v>608</v>
      </c>
      <c r="Y95" s="103" t="s">
        <v>1219</v>
      </c>
      <c r="AF95" s="103"/>
      <c r="AH95" s="294" t="str">
        <f>print!B66</f>
        <v/>
      </c>
      <c r="AI95" s="294"/>
      <c r="AJ95" s="294" t="str">
        <f>print!B89</f>
        <v/>
      </c>
      <c r="AK95" s="294"/>
    </row>
    <row r="96" spans="1:37" x14ac:dyDescent="0.25">
      <c r="B96" s="55"/>
      <c r="S96" s="202" t="s">
        <v>1034</v>
      </c>
      <c r="T96" s="82" t="s">
        <v>1356</v>
      </c>
      <c r="V96" s="253" t="s">
        <v>1736</v>
      </c>
      <c r="W96" s="68" t="s">
        <v>1219</v>
      </c>
      <c r="X96" s="13" t="s">
        <v>609</v>
      </c>
      <c r="Y96" s="103" t="s">
        <v>1219</v>
      </c>
      <c r="AF96" s="103"/>
      <c r="AH96" s="294"/>
      <c r="AI96" s="294"/>
      <c r="AJ96" s="294"/>
      <c r="AK96" s="294"/>
    </row>
    <row r="97" spans="1:37" x14ac:dyDescent="0.25">
      <c r="A97" s="161"/>
      <c r="B97" s="161"/>
      <c r="C97" s="161"/>
      <c r="D97" s="161"/>
      <c r="E97" s="161"/>
      <c r="F97" s="161"/>
      <c r="G97" s="161"/>
      <c r="H97" s="161"/>
      <c r="I97" s="161"/>
      <c r="J97" s="161"/>
      <c r="K97" s="161"/>
      <c r="M97" s="162"/>
      <c r="N97" s="162"/>
      <c r="O97" s="162"/>
      <c r="P97" s="162"/>
      <c r="Q97" s="162"/>
      <c r="S97" s="80" t="s">
        <v>138</v>
      </c>
      <c r="T97" s="82" t="s">
        <v>138</v>
      </c>
      <c r="V97" s="86" t="s">
        <v>296</v>
      </c>
      <c r="W97" s="68" t="s">
        <v>1219</v>
      </c>
      <c r="X97" s="13" t="s">
        <v>610</v>
      </c>
      <c r="Y97" s="103" t="s">
        <v>1219</v>
      </c>
      <c r="AF97" s="103"/>
      <c r="AH97" s="294"/>
      <c r="AI97" s="294"/>
      <c r="AJ97" s="294"/>
      <c r="AK97" s="294"/>
    </row>
    <row r="98" spans="1:37" ht="18.75" x14ac:dyDescent="0.3">
      <c r="A98" s="161"/>
      <c r="B98" s="71" t="s">
        <v>18</v>
      </c>
      <c r="F98" s="161"/>
      <c r="G98" s="161"/>
      <c r="H98" s="161"/>
      <c r="I98" s="161"/>
      <c r="J98" s="161"/>
      <c r="K98" s="161"/>
      <c r="M98" s="140" t="s">
        <v>927</v>
      </c>
      <c r="Q98" s="162"/>
      <c r="S98" s="202" t="s">
        <v>1036</v>
      </c>
      <c r="T98" s="82" t="s">
        <v>1357</v>
      </c>
      <c r="V98" s="253" t="s">
        <v>1646</v>
      </c>
      <c r="W98" s="68" t="s">
        <v>1219</v>
      </c>
      <c r="X98" s="255" t="s">
        <v>1536</v>
      </c>
      <c r="Y98" s="103" t="s">
        <v>1219</v>
      </c>
      <c r="AF98" s="103"/>
      <c r="AH98" s="294"/>
      <c r="AI98" s="294"/>
      <c r="AJ98" s="294"/>
      <c r="AK98" s="294"/>
    </row>
    <row r="99" spans="1:37" x14ac:dyDescent="0.25">
      <c r="A99" s="161"/>
      <c r="B99" s="66" t="s">
        <v>130</v>
      </c>
      <c r="C99" s="280"/>
      <c r="D99" s="281"/>
      <c r="E99" s="66" t="str">
        <f>IF(C99&lt;&gt;"",VLOOKUP(C99,S26:T48,2),"")</f>
        <v/>
      </c>
      <c r="F99" s="161"/>
      <c r="G99" s="293" t="e">
        <f>print!B12</f>
        <v>#N/A</v>
      </c>
      <c r="H99" s="293"/>
      <c r="I99" s="293"/>
      <c r="J99" s="293"/>
      <c r="K99" s="293"/>
      <c r="N99" s="144" t="s">
        <v>928</v>
      </c>
      <c r="O99" s="299"/>
      <c r="P99" s="299"/>
      <c r="Q99" s="162"/>
      <c r="S99" s="202" t="s">
        <v>1037</v>
      </c>
      <c r="T99" s="125" t="s">
        <v>1355</v>
      </c>
      <c r="V99" s="203" t="s">
        <v>1177</v>
      </c>
      <c r="W99" s="68" t="s">
        <v>1219</v>
      </c>
      <c r="X99" s="45" t="s">
        <v>1183</v>
      </c>
      <c r="Y99" s="103" t="s">
        <v>1219</v>
      </c>
      <c r="AF99" s="103"/>
      <c r="AH99" s="294"/>
      <c r="AI99" s="294"/>
      <c r="AJ99" s="294"/>
      <c r="AK99" s="294"/>
    </row>
    <row r="100" spans="1:37" x14ac:dyDescent="0.25">
      <c r="A100" s="161"/>
      <c r="B100" s="66" t="s">
        <v>131</v>
      </c>
      <c r="C100" s="285"/>
      <c r="D100" s="286"/>
      <c r="E100" s="66" t="str">
        <f>IF(C100&lt;&gt;"",VLOOKUP(C100,V26:W48,2),"")</f>
        <v/>
      </c>
      <c r="F100" s="161"/>
      <c r="G100" s="293"/>
      <c r="H100" s="293"/>
      <c r="I100" s="293"/>
      <c r="J100" s="293"/>
      <c r="K100" s="293"/>
      <c r="O100" s="140" t="str">
        <f>IF(O99&lt;&gt;"",VLOOKUP(O99,S26:T48,2),"")</f>
        <v/>
      </c>
      <c r="Q100" s="162"/>
      <c r="S100" s="80" t="s">
        <v>211</v>
      </c>
      <c r="T100" s="82" t="s">
        <v>139</v>
      </c>
      <c r="V100" s="253" t="s">
        <v>1644</v>
      </c>
      <c r="W100" s="68" t="s">
        <v>1219</v>
      </c>
      <c r="X100" s="255" t="s">
        <v>1727</v>
      </c>
      <c r="Y100" s="103" t="s">
        <v>1219</v>
      </c>
      <c r="AF100" s="103"/>
      <c r="AH100" s="294"/>
      <c r="AI100" s="294"/>
      <c r="AJ100" s="294"/>
      <c r="AK100" s="294"/>
    </row>
    <row r="101" spans="1:37" x14ac:dyDescent="0.25">
      <c r="G101" s="293"/>
      <c r="H101" s="293"/>
      <c r="I101" s="293"/>
      <c r="J101" s="293"/>
      <c r="K101" s="293"/>
      <c r="S101" s="80" t="s">
        <v>212</v>
      </c>
      <c r="T101" s="82" t="s">
        <v>140</v>
      </c>
      <c r="V101" s="86" t="s">
        <v>297</v>
      </c>
      <c r="W101" s="68" t="s">
        <v>1219</v>
      </c>
      <c r="X101" s="255" t="s">
        <v>1733</v>
      </c>
      <c r="Y101" s="103" t="s">
        <v>1219</v>
      </c>
      <c r="AC101" s="83"/>
      <c r="AD101" s="83"/>
      <c r="AF101" s="103"/>
      <c r="AH101" s="176" t="str">
        <f>print!B68</f>
        <v/>
      </c>
      <c r="AI101" s="171"/>
      <c r="AJ101" s="176" t="str">
        <f>print!B91</f>
        <v/>
      </c>
      <c r="AK101" s="171"/>
    </row>
    <row r="102" spans="1:37" x14ac:dyDescent="0.25">
      <c r="B102" s="70" t="s">
        <v>90</v>
      </c>
      <c r="N102" s="144" t="s">
        <v>929</v>
      </c>
      <c r="O102" s="299"/>
      <c r="P102" s="299"/>
      <c r="S102" s="80" t="s">
        <v>141</v>
      </c>
      <c r="T102" s="82" t="s">
        <v>141</v>
      </c>
      <c r="V102" s="86" t="s">
        <v>298</v>
      </c>
      <c r="W102" s="68" t="s">
        <v>1219</v>
      </c>
      <c r="X102" s="45" t="s">
        <v>1184</v>
      </c>
      <c r="Y102" s="103" t="s">
        <v>1219</v>
      </c>
      <c r="AF102" s="103"/>
      <c r="AH102" s="294" t="str">
        <f>print!B69</f>
        <v/>
      </c>
      <c r="AI102" s="294"/>
      <c r="AJ102" s="294" t="str">
        <f>print!B92</f>
        <v/>
      </c>
      <c r="AK102" s="294"/>
    </row>
    <row r="103" spans="1:37" x14ac:dyDescent="0.25">
      <c r="B103" s="280"/>
      <c r="C103" s="281"/>
      <c r="G103" s="293" t="e">
        <f>print!B15</f>
        <v>#N/A</v>
      </c>
      <c r="H103" s="293"/>
      <c r="I103" s="293"/>
      <c r="J103" s="293"/>
      <c r="K103" s="293"/>
      <c r="S103" s="90" t="s">
        <v>142</v>
      </c>
      <c r="T103" s="92" t="s">
        <v>142</v>
      </c>
      <c r="V103" s="253" t="s">
        <v>1737</v>
      </c>
      <c r="W103" s="68" t="s">
        <v>1219</v>
      </c>
      <c r="X103" s="255" t="s">
        <v>1725</v>
      </c>
      <c r="Y103" s="103" t="s">
        <v>1219</v>
      </c>
      <c r="AF103" s="103"/>
      <c r="AH103" s="294"/>
      <c r="AI103" s="294"/>
      <c r="AJ103" s="294"/>
      <c r="AK103" s="294"/>
    </row>
    <row r="104" spans="1:37" x14ac:dyDescent="0.25">
      <c r="G104" s="293"/>
      <c r="H104" s="293"/>
      <c r="I104" s="293"/>
      <c r="J104" s="293"/>
      <c r="K104" s="293"/>
      <c r="V104" s="253" t="s">
        <v>1739</v>
      </c>
      <c r="W104" s="68" t="s">
        <v>1219</v>
      </c>
      <c r="X104" s="13" t="s">
        <v>611</v>
      </c>
      <c r="Y104" s="103" t="s">
        <v>1219</v>
      </c>
      <c r="AF104" s="103"/>
      <c r="AH104" s="294"/>
      <c r="AI104" s="294"/>
      <c r="AJ104" s="294"/>
      <c r="AK104" s="294"/>
    </row>
    <row r="105" spans="1:37" ht="15" customHeight="1" x14ac:dyDescent="0.25">
      <c r="B105" s="70" t="s">
        <v>707</v>
      </c>
      <c r="E105" s="104" t="s">
        <v>713</v>
      </c>
      <c r="F105" s="105">
        <f>COUNTIF(N67:O74,#REF!)+COUNTIF(B60:C74,#REF!)</f>
        <v>0</v>
      </c>
      <c r="G105" s="293"/>
      <c r="H105" s="293"/>
      <c r="I105" s="293"/>
      <c r="J105" s="293"/>
      <c r="K105" s="293"/>
      <c r="V105" s="86" t="s">
        <v>299</v>
      </c>
      <c r="W105" s="68" t="s">
        <v>1219</v>
      </c>
      <c r="X105" s="13" t="s">
        <v>612</v>
      </c>
      <c r="Y105" s="103" t="s">
        <v>1219</v>
      </c>
      <c r="AF105" s="103"/>
      <c r="AH105" s="294"/>
      <c r="AI105" s="294"/>
      <c r="AJ105" s="294"/>
      <c r="AK105" s="294"/>
    </row>
    <row r="106" spans="1:37" x14ac:dyDescent="0.25">
      <c r="B106" s="280"/>
      <c r="C106" s="281"/>
      <c r="E106" s="66" t="e">
        <f>VLOOKUP(B106,styles!$B$3:$D$25,2)</f>
        <v>#N/A</v>
      </c>
      <c r="V106" s="203" t="s">
        <v>1178</v>
      </c>
      <c r="W106" s="68" t="s">
        <v>1219</v>
      </c>
      <c r="X106" s="13" t="s">
        <v>613</v>
      </c>
      <c r="Y106" s="103" t="s">
        <v>1219</v>
      </c>
      <c r="AF106" s="103"/>
      <c r="AH106" s="294"/>
      <c r="AI106" s="294"/>
      <c r="AJ106" s="294"/>
      <c r="AK106" s="294"/>
    </row>
    <row r="107" spans="1:37" x14ac:dyDescent="0.25">
      <c r="B107" s="280"/>
      <c r="C107" s="281"/>
      <c r="E107" s="66" t="e">
        <f>VLOOKUP(B107,styles!$B$3:$D$25,2)</f>
        <v>#N/A</v>
      </c>
      <c r="G107" s="302" t="str">
        <f>IF(COUNTIF(B60:C74,#REF!)&gt;0,"2nd Virtue:","")</f>
        <v/>
      </c>
      <c r="H107" s="302"/>
      <c r="I107" s="289"/>
      <c r="J107" s="289"/>
      <c r="V107" s="253" t="s">
        <v>1647</v>
      </c>
      <c r="W107" s="68" t="s">
        <v>1219</v>
      </c>
      <c r="X107" s="13" t="s">
        <v>614</v>
      </c>
      <c r="Y107" s="103" t="s">
        <v>1219</v>
      </c>
      <c r="AF107" s="103"/>
      <c r="AH107" s="294"/>
      <c r="AI107" s="294"/>
      <c r="AJ107" s="294"/>
      <c r="AK107" s="294"/>
    </row>
    <row r="108" spans="1:37" x14ac:dyDescent="0.25">
      <c r="B108" s="280"/>
      <c r="C108" s="281"/>
      <c r="E108" s="66" t="e">
        <f>VLOOKUP(B108,styles!$B$3:$D$25,2)</f>
        <v>#N/A</v>
      </c>
      <c r="I108" s="66" t="str">
        <f>IF(I107&lt;&gt;"",VLOOKUP(I107,S26:T48,2),"")</f>
        <v/>
      </c>
      <c r="L108" s="133"/>
      <c r="V108" s="86" t="s">
        <v>531</v>
      </c>
      <c r="W108" s="68" t="s">
        <v>1219</v>
      </c>
      <c r="X108" s="255" t="s">
        <v>1490</v>
      </c>
      <c r="Y108" s="103" t="s">
        <v>1219</v>
      </c>
      <c r="AF108" s="103"/>
      <c r="AH108" s="176" t="str">
        <f>print!B71</f>
        <v/>
      </c>
      <c r="AI108" s="171"/>
      <c r="AJ108" s="176" t="str">
        <f>print!B94</f>
        <v/>
      </c>
      <c r="AK108" s="171"/>
    </row>
    <row r="109" spans="1:37" x14ac:dyDescent="0.25">
      <c r="B109" s="189"/>
      <c r="C109" s="189"/>
      <c r="D109" s="189"/>
      <c r="E109" s="189"/>
      <c r="F109" s="189"/>
      <c r="G109" s="302" t="str">
        <f>IF(COUNTIF(B106:C108,X106)&gt;0,"Weapon Type: ","")</f>
        <v/>
      </c>
      <c r="H109" s="302"/>
      <c r="I109" s="289"/>
      <c r="J109" s="289"/>
      <c r="K109" s="189"/>
      <c r="L109" s="133"/>
      <c r="V109" s="254" t="s">
        <v>1738</v>
      </c>
      <c r="W109" s="68" t="s">
        <v>1219</v>
      </c>
      <c r="X109" s="255" t="s">
        <v>1512</v>
      </c>
      <c r="Y109" s="103" t="s">
        <v>1219</v>
      </c>
      <c r="AF109" s="103"/>
      <c r="AH109" s="294" t="str">
        <f>print!B72</f>
        <v/>
      </c>
      <c r="AI109" s="294"/>
      <c r="AJ109" s="294" t="str">
        <f>print!B95</f>
        <v/>
      </c>
      <c r="AK109" s="294"/>
    </row>
    <row r="110" spans="1:37" ht="15.75" thickBot="1" x14ac:dyDescent="0.3">
      <c r="A110" s="189"/>
      <c r="L110" s="133"/>
      <c r="X110" s="255" t="s">
        <v>1730</v>
      </c>
      <c r="Y110" s="103" t="s">
        <v>1219</v>
      </c>
      <c r="AF110" s="103"/>
      <c r="AH110" s="294"/>
      <c r="AI110" s="294"/>
      <c r="AJ110" s="294"/>
      <c r="AK110" s="294"/>
    </row>
    <row r="111" spans="1:37" ht="18.75" x14ac:dyDescent="0.3">
      <c r="A111" s="107"/>
      <c r="B111" s="108" t="s">
        <v>194</v>
      </c>
      <c r="C111" s="109"/>
      <c r="D111" s="109"/>
      <c r="E111" s="215"/>
      <c r="F111" s="215"/>
      <c r="G111" s="304" t="s">
        <v>1325</v>
      </c>
      <c r="H111" s="304"/>
      <c r="I111" s="304"/>
      <c r="J111" s="305"/>
      <c r="K111" s="216" t="s">
        <v>915</v>
      </c>
      <c r="L111" s="133"/>
      <c r="S111" s="74" t="s">
        <v>619</v>
      </c>
      <c r="T111" s="75" t="s">
        <v>660</v>
      </c>
      <c r="U111" s="76"/>
      <c r="V111" s="115" t="s">
        <v>714</v>
      </c>
      <c r="X111" s="13" t="s">
        <v>615</v>
      </c>
      <c r="Y111" s="103" t="s">
        <v>1219</v>
      </c>
      <c r="AF111" s="103"/>
      <c r="AH111" s="294"/>
      <c r="AI111" s="294"/>
      <c r="AJ111" s="294"/>
      <c r="AK111" s="294"/>
    </row>
    <row r="112" spans="1:37" x14ac:dyDescent="0.25">
      <c r="A112" s="110"/>
      <c r="B112" s="111" t="str">
        <f>IF(COUNTIF($N$67:$O$74,"Sorcery (self-trained Strega)")+COUNTIF($B$60:$C$74,"Sorcery (self-trained Strega)")+COUNTIF($N$67:$O$74,"Sorcery")+COUNTIF($B$60:$C$74,"Sorcery")&gt;0,IF(K111=T2,"Mohwoo",VLOOKUP(B17,S8:V22,4)),"")</f>
        <v/>
      </c>
      <c r="C112" s="190"/>
      <c r="D112" s="190"/>
      <c r="E112" s="112" t="s">
        <v>1005</v>
      </c>
      <c r="F112" s="188">
        <f>COUNTIF(B60:C74,"Sorcery")+COUNTIF(N67:O74,"Sorcery")+COUNTIF(B60:C74,"Sorcery (self-trained Strega)")+COUNTIF(N67:O74,"Sorcery (self-trained Strega)")</f>
        <v>0</v>
      </c>
      <c r="G112" s="190" t="str">
        <f>IF(B112=AC133,"Dievas common name:","")</f>
        <v/>
      </c>
      <c r="H112" s="190"/>
      <c r="I112" s="289"/>
      <c r="J112" s="289"/>
      <c r="K112" s="113"/>
      <c r="L112" s="133"/>
      <c r="M112" s="146"/>
      <c r="N112" s="146"/>
      <c r="O112" s="146"/>
      <c r="P112" s="146"/>
      <c r="Q112" s="146"/>
      <c r="S112" s="80">
        <f>IF($B$112=$AE$133,styles!G106,IF($B$112=$W$133,styles!B37,IF($B$112=$V$133,'adv shuffle'!E31,IF($B$112=$AD$133,styles!C87,IF($B$112=$Z$133,styles!B106,IF($B$112=$X$133,styles!B114,IF($B$112=$AA$133,styles!I114,IF(AND(COUNTIF(G118:J130,T112),$B$112=$Y$133),styles!N114,0))))))))</f>
        <v>0</v>
      </c>
      <c r="T112" s="81">
        <f>IF($B$112=$U$133,styles!G137,IF($B$112=$T$133,styles!B138,IF($B$112=$AE$133,styles!G96,IF($B$112=$W$133,styles!B48,IF($B$112=$V$133,'adv shuffle'!E41,IF($B$112=$AD$133,styles!D87,IF($B$112=$Z$133,styles!B96,IF($B$112=$X$133,styles!E114,IF(COUNTIF($B$118:$D$124,styles!I114)&gt;0,styles!K114,IF($B$112=$Y$133,styles!N114,0))))))))))</f>
        <v>0</v>
      </c>
      <c r="U112" s="81"/>
      <c r="V112" s="82" t="str">
        <f>IF($B$112=$V$133,styles!B64,IF($B$112=$AC$133,styles!I87,""))</f>
        <v/>
      </c>
      <c r="X112" s="98" t="s">
        <v>616</v>
      </c>
      <c r="Y112" s="103" t="s">
        <v>1219</v>
      </c>
      <c r="AF112" s="103"/>
      <c r="AH112" s="294"/>
      <c r="AI112" s="294"/>
      <c r="AJ112" s="294"/>
      <c r="AK112" s="294"/>
    </row>
    <row r="113" spans="1:37" x14ac:dyDescent="0.25">
      <c r="A113" s="110"/>
      <c r="B113" s="111"/>
      <c r="C113" s="190"/>
      <c r="D113" s="190"/>
      <c r="E113" s="112"/>
      <c r="F113" s="188"/>
      <c r="G113" s="190"/>
      <c r="H113" s="190"/>
      <c r="I113" s="190"/>
      <c r="J113" s="190"/>
      <c r="K113" s="113"/>
      <c r="L113" s="133"/>
      <c r="M113" s="146"/>
      <c r="N113" s="146"/>
      <c r="O113" s="146"/>
      <c r="P113" s="146"/>
      <c r="Q113" s="146"/>
      <c r="S113" s="80">
        <f>IF($B$112=$AE$133,styles!G107,IF($B$112=$W$133,styles!B38,IF($B$112=$V$133,'adv shuffle'!E32,IF($B$112=$AD$133,styles!C88,IF($B$112=$Z$133,styles!B107,IF($B$112=$X$133,styles!B115,IF($B$112=$AA$133,styles!I115,IF(AND(COUNTIF(G118:J130,T113),$B$112=$Y$133),styles!N115,0))))))))</f>
        <v>0</v>
      </c>
      <c r="T113" s="81">
        <f>IF($B$112=$U$133,styles!G138,IF($B$112=$T$133,styles!B139,IF($B$112=$AE$133,styles!G97,IF($B$112=$W$133,styles!B49,IF($B$112=$V$133,'adv shuffle'!E42,IF($B$112=$AD$133,styles!D88,IF($B$112=$Z$133,styles!B97,IF($B$112=$X$133,styles!E115,IF(COUNTIF($B$118:$D$124,styles!I115)&gt;0,styles!K115,IF($B$112=$Y$133,styles!N115,0))))))))))</f>
        <v>0</v>
      </c>
      <c r="U113" s="81"/>
      <c r="V113" s="82" t="str">
        <f>IF($B$112=$V$133,styles!B65,IF($B$112=$AC$133,styles!I88,""))</f>
        <v/>
      </c>
      <c r="Y113" s="103" t="s">
        <v>1219</v>
      </c>
      <c r="AF113" s="103"/>
      <c r="AH113" s="294"/>
      <c r="AI113" s="294"/>
      <c r="AJ113" s="294"/>
      <c r="AK113" s="294"/>
    </row>
    <row r="114" spans="1:37" x14ac:dyDescent="0.25">
      <c r="A114" s="110"/>
      <c r="B114" s="190" t="str">
        <f>IF(B112=$V$133,"Select Knight",IF(B112=AC133,"Select Dievas type",""))</f>
        <v/>
      </c>
      <c r="C114" s="190"/>
      <c r="D114" s="190"/>
      <c r="E114" s="114" t="str">
        <f>IF(B112=$V$133,"Major Trait","")</f>
        <v/>
      </c>
      <c r="F114" s="114" t="str">
        <f>IF(B112=$V$133,"Minor Trait","")</f>
        <v/>
      </c>
      <c r="G114" s="295" t="str">
        <f>IF(B112=$V$133,"Virtue","")</f>
        <v/>
      </c>
      <c r="H114" s="295"/>
      <c r="I114" s="295" t="str">
        <f>IF($B$112=$V$133,"Hubris","")</f>
        <v/>
      </c>
      <c r="J114" s="295"/>
      <c r="K114" s="113"/>
      <c r="L114" s="134"/>
      <c r="M114" s="146"/>
      <c r="N114" s="146"/>
      <c r="O114" s="146"/>
      <c r="P114" s="146"/>
      <c r="Q114" s="146"/>
      <c r="S114" s="80">
        <f>IF($B$112=$AE$133,styles!G108,IF($B$112=$W$133,styles!B39,IF($B$112=$V$133,'adv shuffle'!E33,IF($B$112=$AD$133,styles!C89,IF($B$112=$Z$133,styles!B108,IF($B$112=$X$133,styles!B118,IF($B$112=$AA$133,styles!I120,IF(AND(COUNTIF(G118:J130,T114),$B$112=$Y$133),styles!N116,0))))))))</f>
        <v>0</v>
      </c>
      <c r="T114" s="81">
        <f>IF($B$112=$U$133,styles!G139,IF($B$112=$T$133,styles!B140,IF($B$112=$AE$133,styles!G98,IF($B$112=$W$133,styles!B50,IF($B$112=$V$133,'adv shuffle'!E43,IF($B$112=$AD$133,styles!D89,IF($B$112=$Z$133,styles!B98,IF($B$112=$X$133,styles!E116,IF(COUNTIF($B$118:$D$124,styles!I116)&gt;0,styles!K120,IF($B$112=$Y$133,styles!N116,0))))))))))</f>
        <v>0</v>
      </c>
      <c r="U114" s="81"/>
      <c r="V114" s="82" t="str">
        <f>IF($B$112=$V$133,styles!B66,IF($B$112=$AC$133,styles!I89,""))</f>
        <v/>
      </c>
      <c r="X114" s="12" t="s">
        <v>1234</v>
      </c>
      <c r="Y114" s="103" t="s">
        <v>1219</v>
      </c>
      <c r="AF114" s="103"/>
      <c r="AH114" s="294"/>
      <c r="AI114" s="294"/>
      <c r="AJ114" s="294"/>
      <c r="AK114" s="294"/>
    </row>
    <row r="115" spans="1:37" x14ac:dyDescent="0.25">
      <c r="A115" s="110"/>
      <c r="B115" s="289"/>
      <c r="C115" s="289"/>
      <c r="D115" s="289"/>
      <c r="E115" s="114" t="str">
        <f>IF($B$112=$V$133,VLOOKUP($B$115,styles!$B$64:$D$83,2),"")</f>
        <v/>
      </c>
      <c r="F115" s="114" t="str">
        <f>IF($B$112=$V$133,VLOOKUP($B$115,styles!$B$64:$D$83,3),"")</f>
        <v/>
      </c>
      <c r="G115" s="303" t="str">
        <f>IF($B$112=$V$133,VLOOKUP($B$115,styles!$B$64:$H$83,4),"")</f>
        <v/>
      </c>
      <c r="H115" s="303"/>
      <c r="I115" s="303" t="str">
        <f>IF($B$112=$V$133,VLOOKUP($B$115,styles!$B$64:$H$83,5),"")</f>
        <v/>
      </c>
      <c r="J115" s="303"/>
      <c r="K115" s="113"/>
      <c r="M115" s="146"/>
      <c r="N115" s="146"/>
      <c r="O115" s="146"/>
      <c r="P115" s="146"/>
      <c r="Q115" s="146"/>
      <c r="S115" s="80">
        <f>IF($B$112=$W$133,styles!B40,IF($B$112=$V$133,'adv shuffle'!E34,IF($B$112=$AD$133,styles!C90,IF($B$112=$Z$133,styles!B109,IF($B$112=$X$133,styles!B119,IF($B$112=$AA$133,styles!I117,IF(AND(COUNTIF(G118:J130,T115),$B$112=$Y$133),styles!N117,0)))))))</f>
        <v>0</v>
      </c>
      <c r="T115" s="81">
        <f>IF($B$112=$U$133,styles!G140,IF($B$112=$T$133,styles!B141,IF($B$112=$AE$133,styles!G99,IF($B$112=$W$133,styles!B51,IF($B$112=$V$133,'adv shuffle'!E44,IF($B$112=$AD$133,styles!D90,IF($B$112=$Z$133,styles!B99,IF($B$112=$X$133,styles!E117,IF(COUNTIF($B$118:$D$124,styles!I117)&gt;0,styles!K117,IF($B$112=$Y$133,styles!N117,0))))))))))</f>
        <v>0</v>
      </c>
      <c r="U115" s="81"/>
      <c r="V115" s="82" t="str">
        <f>IF($B$112=$V$133,styles!B67,IF($B$112=$AC$133,styles!I90,""))</f>
        <v/>
      </c>
      <c r="X115" s="13" t="s">
        <v>1235</v>
      </c>
      <c r="Y115" s="103" t="s">
        <v>1219</v>
      </c>
      <c r="AF115" s="103"/>
      <c r="AJ115" s="294" t="str">
        <f>print!B98</f>
        <v/>
      </c>
      <c r="AK115" s="294"/>
    </row>
    <row r="116" spans="1:37" x14ac:dyDescent="0.25">
      <c r="A116" s="110"/>
      <c r="B116" s="190"/>
      <c r="C116" s="190"/>
      <c r="D116" s="190"/>
      <c r="E116" s="190"/>
      <c r="F116" s="190"/>
      <c r="G116" s="190"/>
      <c r="H116" s="190"/>
      <c r="I116" s="190"/>
      <c r="J116" s="190"/>
      <c r="K116" s="113"/>
      <c r="M116" s="146"/>
      <c r="N116" s="146"/>
      <c r="O116" s="146"/>
      <c r="P116" s="146"/>
      <c r="Q116" s="146"/>
      <c r="S116" s="80">
        <f>IF($B$112=$W$133,styles!B41,IF($B$112=$V$133,'adv shuffle'!E35,IF($B$112=$Z$133,styles!B110,IF($B$112=$X$133,styles!B122,IF($B$112=$AA$133,styles!I118,IF(AND(COUNTIF(G118:J130,T116),$B$112=$Y$133),styles!N118,0))))))</f>
        <v>0</v>
      </c>
      <c r="T116" s="81">
        <f>IF($B$112=$U$133,styles!G141,IF($B$112=$T$133,styles!B142,IF($B$112=$AE$133,styles!G100,IF($B$112=$W$133,styles!B52,IF($B$112=$V$133,'adv shuffle'!E45,IF($B$112=$Z$133,styles!B100,IF($B$112=$AD$133,styles!D91,IF($B$112=$X$133,styles!E118,IF(COUNTIF($B$118:$D$124,styles!I118)&gt;0,styles!K118,IF($B$112=$Y$133,styles!N118,0))))))))))</f>
        <v>0</v>
      </c>
      <c r="U116" s="81"/>
      <c r="V116" s="82" t="str">
        <f>IF($B$112=$V$133,styles!B68,IF($B$112=$AC$133,styles!I91,""))</f>
        <v/>
      </c>
      <c r="X116" s="14" t="s">
        <v>1236</v>
      </c>
      <c r="Y116" s="103" t="s">
        <v>1219</v>
      </c>
      <c r="AF116" s="103"/>
      <c r="AH116" s="175" t="str">
        <f>B112</f>
        <v/>
      </c>
      <c r="AJ116" s="294"/>
      <c r="AK116" s="294"/>
    </row>
    <row r="117" spans="1:37" x14ac:dyDescent="0.25">
      <c r="A117" s="110"/>
      <c r="B117" s="290" t="str">
        <f>IF(OR(COUNTIF($U$133:$AA$133,$B$112),$B$112=$AD$133,$B$112=$AE$133),HLOOKUP($B$112,$T$133:$AE$140,$F$112+1),"")</f>
        <v/>
      </c>
      <c r="C117" s="290"/>
      <c r="D117" s="290"/>
      <c r="E117" s="290"/>
      <c r="F117" s="190"/>
      <c r="G117" s="290" t="str">
        <f>IF(OR(COUNTIF($T$133:$AA$133,$B$112),$B$112=$AD$133,$B$112=$AE$133),HLOOKUP($B$112,$T$133:$AE$147,$F$112+8),"")</f>
        <v/>
      </c>
      <c r="H117" s="290"/>
      <c r="I117" s="290"/>
      <c r="J117" s="290"/>
      <c r="K117" s="298"/>
      <c r="M117" s="146"/>
      <c r="N117" s="146"/>
      <c r="O117" s="146"/>
      <c r="P117" s="146"/>
      <c r="Q117" s="146"/>
      <c r="S117" s="80" t="str">
        <f>IF($B$112=$W$133,styles!B42,IF($B$112=$V$133,'adv shuffle'!E36,IF($B$112=$Z$133,styles!B111,IF($B$112=$X$133,styles!B123,IF($B$112=$AA$133,styles!I119,IF(AND(COUNTIF(G118:J130,T117),$B$112=$Y$133),styles!N119,""))))))</f>
        <v/>
      </c>
      <c r="T117" s="81">
        <f>IF($B$112=$U$133,styles!G142,IF($B$112=$AE$133,styles!G101,IF($B$112=$W$133,styles!B53,IF($B$112=$V$133,'adv shuffle'!E46,IF($B$112=$Z$133,styles!B101,IF($B$112=$X$133,styles!E119,IF(COUNTIF($B$118:$D$124,styles!I119)&gt;0,styles!K119,IF($B$112=$Y$133,styles!N119,0))))))))</f>
        <v>0</v>
      </c>
      <c r="U117" s="81"/>
      <c r="V117" s="82" t="str">
        <f>IF($B$112=$V$133,styles!B69,IF($B$112=$AC$133,styles!I92,""))</f>
        <v/>
      </c>
      <c r="AF117" s="103"/>
      <c r="AH117" s="300" t="str">
        <f>print!D126</f>
        <v>--</v>
      </c>
      <c r="AI117" s="300"/>
      <c r="AJ117" s="294"/>
      <c r="AK117" s="294"/>
    </row>
    <row r="118" spans="1:37" x14ac:dyDescent="0.25">
      <c r="A118" s="110"/>
      <c r="B118" s="289"/>
      <c r="C118" s="289"/>
      <c r="D118" s="289"/>
      <c r="E118" s="129"/>
      <c r="F118" s="190"/>
      <c r="G118" s="289"/>
      <c r="H118" s="289"/>
      <c r="I118" s="289"/>
      <c r="J118" s="289"/>
      <c r="K118" s="130"/>
      <c r="M118" s="146"/>
      <c r="N118" s="146"/>
      <c r="O118" s="146"/>
      <c r="P118" s="146"/>
      <c r="Q118" s="146"/>
      <c r="S118" s="80" t="str">
        <f>IF($B$112=$W$133,styles!B43,IF($B$112=$V$133,'adv shuffle'!E37,IF($B$112=$X$133,styles!B126,IF(AND($B$112=$AA$133,J3=U3),styles!I116,""))))</f>
        <v/>
      </c>
      <c r="T118" s="81">
        <f>IF($B$112=$U$133,styles!G143,IF($B$112=$AE$133,styles!G102,IF($B$112=$W$133,styles!B54,IF($B$112=$V$133,'adv shuffle'!E47,IF($B$112=$Z$133,styles!B102,IF($B$112=$X$133,styles!E120,IF(AND(J3=U3,COUNTIF($B$118:$D$124,styles!I120)&gt;0),styles!K116,0)))))))</f>
        <v>0</v>
      </c>
      <c r="U118" s="81"/>
      <c r="V118" s="82" t="str">
        <f>IF($B$112=$V$133,styles!B70,IF($B$112=$AC$133,styles!I93,""))</f>
        <v/>
      </c>
      <c r="AF118" s="103"/>
      <c r="AH118" s="301" t="str">
        <f>print!B127</f>
        <v/>
      </c>
      <c r="AI118" s="301"/>
      <c r="AJ118" s="294"/>
      <c r="AK118" s="294"/>
    </row>
    <row r="119" spans="1:37" x14ac:dyDescent="0.25">
      <c r="A119" s="110"/>
      <c r="B119" s="289"/>
      <c r="C119" s="289"/>
      <c r="D119" s="289"/>
      <c r="E119" s="129"/>
      <c r="F119" s="190"/>
      <c r="G119" s="289"/>
      <c r="H119" s="289"/>
      <c r="I119" s="289"/>
      <c r="J119" s="289"/>
      <c r="K119" s="130"/>
      <c r="M119" s="146"/>
      <c r="N119" s="146"/>
      <c r="O119" s="146"/>
      <c r="P119" s="146"/>
      <c r="Q119" s="146"/>
      <c r="S119" s="80" t="str">
        <f>IF($B$112=$W$133,styles!B44,IF($B$112=$X$133,styles!B127,""))</f>
        <v/>
      </c>
      <c r="T119" s="81">
        <f>IF($B$112=$U$133,styles!G144,IF($B$112=$AE$133,styles!G103,IF($B$112=$W$133,styles!B55,IF($B$112=$V$133,'adv shuffle'!E48,IF($B$112=$Z$133,styles!B103,IF($B$112=$X$133,styles!E121,0))))))</f>
        <v>0</v>
      </c>
      <c r="U119" s="81"/>
      <c r="V119" s="82" t="str">
        <f>IF($B$112=$V$133,styles!B71,"")</f>
        <v/>
      </c>
      <c r="AF119" s="103"/>
      <c r="AH119" s="300" t="str">
        <f>print!B128</f>
        <v/>
      </c>
      <c r="AI119" s="300"/>
      <c r="AJ119" s="294"/>
      <c r="AK119" s="294"/>
    </row>
    <row r="120" spans="1:37" x14ac:dyDescent="0.25">
      <c r="A120" s="110"/>
      <c r="B120" s="289"/>
      <c r="C120" s="289"/>
      <c r="D120" s="289"/>
      <c r="E120" s="129"/>
      <c r="F120" s="190"/>
      <c r="G120" s="289"/>
      <c r="H120" s="289"/>
      <c r="I120" s="289"/>
      <c r="J120" s="289"/>
      <c r="K120" s="130"/>
      <c r="M120" s="146"/>
      <c r="N120" s="146"/>
      <c r="O120" s="146"/>
      <c r="P120" s="146"/>
      <c r="Q120" s="146"/>
      <c r="S120" s="80" t="str">
        <f>IF($B$112=$W$133,styles!B45,IF($B$112=$X$133,styles!B130,""))</f>
        <v/>
      </c>
      <c r="T120" s="81">
        <f>IF($B$112=$U$133,styles!G145,IF($B$112=$W$133,styles!B56,IF($B$112=$V$133,'adv shuffle'!E49,IF($B$112=$Z$133,styles!B104,IF($B$112=$X$133,styles!E122,0)))))</f>
        <v>0</v>
      </c>
      <c r="U120" s="81"/>
      <c r="V120" s="82" t="str">
        <f>IF($B$112=$V$133,styles!B72,"")</f>
        <v/>
      </c>
      <c r="AF120" s="103"/>
      <c r="AH120" s="301" t="str">
        <f>print!B129</f>
        <v/>
      </c>
      <c r="AI120" s="301"/>
      <c r="AJ120" s="294"/>
      <c r="AK120" s="294"/>
    </row>
    <row r="121" spans="1:37" x14ac:dyDescent="0.25">
      <c r="A121" s="110"/>
      <c r="B121" s="289"/>
      <c r="C121" s="289"/>
      <c r="D121" s="289"/>
      <c r="E121" s="129"/>
      <c r="F121" s="190"/>
      <c r="G121" s="289"/>
      <c r="H121" s="289"/>
      <c r="I121" s="289"/>
      <c r="J121" s="289"/>
      <c r="K121" s="130"/>
      <c r="M121" s="146"/>
      <c r="N121" s="146"/>
      <c r="O121" s="146"/>
      <c r="P121" s="146"/>
      <c r="Q121" s="146"/>
      <c r="S121" s="80" t="str">
        <f>IF($B$112=$W$133,styles!B46,IF($B$112=$X$133,styles!B131,""))</f>
        <v/>
      </c>
      <c r="T121" s="81">
        <f>IF($B$112=$U$133,styles!G146,IF($B$112=$W$133,styles!B57,IF($B$112=$V$133,'adv shuffle'!E50,IF($B$112=$X$133,styles!E123,0))))</f>
        <v>0</v>
      </c>
      <c r="U121" s="81"/>
      <c r="V121" s="82" t="str">
        <f>IF($B$112=$V$133,styles!B73,"")</f>
        <v/>
      </c>
      <c r="AF121" s="103"/>
      <c r="AH121" s="300" t="str">
        <f>print!B130</f>
        <v/>
      </c>
      <c r="AI121" s="300"/>
    </row>
    <row r="122" spans="1:37" x14ac:dyDescent="0.25">
      <c r="A122" s="110"/>
      <c r="B122" s="289"/>
      <c r="C122" s="289"/>
      <c r="D122" s="289"/>
      <c r="E122" s="129"/>
      <c r="F122" s="190"/>
      <c r="G122" s="289"/>
      <c r="H122" s="289"/>
      <c r="I122" s="289"/>
      <c r="J122" s="289"/>
      <c r="K122" s="130"/>
      <c r="M122" s="146"/>
      <c r="N122" s="146"/>
      <c r="O122" s="146"/>
      <c r="P122" s="146"/>
      <c r="Q122" s="146"/>
      <c r="S122" s="121" t="str">
        <f>IF($B$112=$W$133,styles!B46,"")</f>
        <v/>
      </c>
      <c r="T122" s="81">
        <f>IF($B$112=$U$133,styles!G147,IF($B$112=$W$133,styles!B58,IF($B$112=$X$133,styles!E124,0)))</f>
        <v>0</v>
      </c>
      <c r="U122" s="81"/>
      <c r="V122" s="82" t="str">
        <f>IF($B$112=$V$133,styles!B74,"")</f>
        <v/>
      </c>
      <c r="AF122" s="103"/>
      <c r="AG122" s="68"/>
      <c r="AH122" s="301" t="str">
        <f>print!B131</f>
        <v/>
      </c>
      <c r="AI122" s="301"/>
    </row>
    <row r="123" spans="1:37" x14ac:dyDescent="0.25">
      <c r="A123" s="110"/>
      <c r="B123" s="289"/>
      <c r="C123" s="289"/>
      <c r="D123" s="289"/>
      <c r="E123" s="114" t="str">
        <f>IF($B$112=$V$133,"ranks","")</f>
        <v/>
      </c>
      <c r="F123" s="190"/>
      <c r="G123" s="289"/>
      <c r="H123" s="289"/>
      <c r="I123" s="289"/>
      <c r="J123" s="289"/>
      <c r="K123" s="119" t="str">
        <f>IF($B$112=$V$133,"ranks","")</f>
        <v/>
      </c>
      <c r="M123" s="146"/>
      <c r="N123" s="146"/>
      <c r="O123" s="146"/>
      <c r="P123" s="146"/>
      <c r="Q123" s="146"/>
      <c r="S123" s="121" t="s">
        <v>101</v>
      </c>
      <c r="T123" s="81">
        <f>IF($B$112=$U$133,styles!G148,IF($B$112=$W$133,styles!B59,IF($B$112=$X$133,styles!E125,0)))</f>
        <v>0</v>
      </c>
      <c r="U123" s="81"/>
      <c r="V123" s="82" t="str">
        <f>IF($B$112=$V$133,styles!B75,"")</f>
        <v/>
      </c>
      <c r="AF123" s="103"/>
      <c r="AG123" s="68"/>
      <c r="AH123" s="300" t="str">
        <f>print!B132</f>
        <v/>
      </c>
      <c r="AI123" s="300"/>
    </row>
    <row r="124" spans="1:37" x14ac:dyDescent="0.25">
      <c r="A124" s="110"/>
      <c r="B124" s="289"/>
      <c r="C124" s="289"/>
      <c r="D124" s="289"/>
      <c r="E124" s="190"/>
      <c r="F124" s="190"/>
      <c r="G124" s="289"/>
      <c r="H124" s="289"/>
      <c r="I124" s="289"/>
      <c r="J124" s="289"/>
      <c r="K124" s="113"/>
      <c r="L124" s="133"/>
      <c r="M124" s="146"/>
      <c r="N124" s="146"/>
      <c r="O124" s="146"/>
      <c r="P124" s="146"/>
      <c r="Q124" s="146"/>
      <c r="S124" s="121" t="s">
        <v>101</v>
      </c>
      <c r="T124" s="81">
        <f>IF($B$112=$W$133,styles!B60,IF($B$112=$X$133,styles!E126,0))</f>
        <v>0</v>
      </c>
      <c r="U124" s="81"/>
      <c r="V124" s="82" t="str">
        <f>IF($B$112=$V$133,styles!B76,"")</f>
        <v/>
      </c>
      <c r="AF124" s="103"/>
      <c r="AG124" s="68"/>
      <c r="AH124" s="301" t="str">
        <f>print!B133</f>
        <v/>
      </c>
      <c r="AI124" s="301"/>
    </row>
    <row r="125" spans="1:37" x14ac:dyDescent="0.25">
      <c r="A125" s="110"/>
      <c r="B125" s="188" t="str">
        <f>IF(OR($B$112=$AB$133,$B$112=$AC$133),HLOOKUP($B$112,$S$133:$AE$147,$F$112+8),"")</f>
        <v/>
      </c>
      <c r="C125" s="188"/>
      <c r="D125" s="190"/>
      <c r="E125" s="190"/>
      <c r="F125" s="190"/>
      <c r="G125" s="289"/>
      <c r="H125" s="289"/>
      <c r="I125" s="289"/>
      <c r="J125" s="289"/>
      <c r="K125" s="113"/>
      <c r="L125" s="133"/>
      <c r="M125" s="146"/>
      <c r="N125" s="146"/>
      <c r="O125" s="146"/>
      <c r="P125" s="146"/>
      <c r="Q125" s="146"/>
      <c r="S125" s="80"/>
      <c r="T125" s="81">
        <f>IF($B$112=$X$133,styles!E127,0)</f>
        <v>0</v>
      </c>
      <c r="U125" s="81"/>
      <c r="V125" s="82" t="str">
        <f>IF($B$112=$V$133,styles!B77,"")</f>
        <v/>
      </c>
      <c r="AG125" s="68"/>
      <c r="AH125" s="300" t="str">
        <f>print!B134</f>
        <v/>
      </c>
      <c r="AI125" s="300"/>
    </row>
    <row r="126" spans="1:37" x14ac:dyDescent="0.25">
      <c r="A126" s="110"/>
      <c r="B126" s="289"/>
      <c r="C126" s="289"/>
      <c r="D126" s="289"/>
      <c r="E126" s="289"/>
      <c r="F126" s="190"/>
      <c r="G126" s="289"/>
      <c r="H126" s="289"/>
      <c r="I126" s="289"/>
      <c r="J126" s="289"/>
      <c r="K126" s="113"/>
      <c r="L126" s="133"/>
      <c r="M126" s="146"/>
      <c r="N126" s="146"/>
      <c r="O126" s="146"/>
      <c r="P126" s="146"/>
      <c r="Q126" s="146"/>
      <c r="S126" s="106">
        <f>COUNTA(B118:D122)</f>
        <v>0</v>
      </c>
      <c r="T126" s="81">
        <f>IF($B$112=$X$133,styles!E128,0)</f>
        <v>0</v>
      </c>
      <c r="U126" s="81"/>
      <c r="V126" s="82" t="str">
        <f>IF($B$112=$V$133,styles!B78,"")</f>
        <v/>
      </c>
      <c r="AG126" s="68"/>
      <c r="AH126" s="301" t="str">
        <f>print!B135</f>
        <v/>
      </c>
      <c r="AI126" s="301"/>
    </row>
    <row r="127" spans="1:37" x14ac:dyDescent="0.25">
      <c r="A127" s="110"/>
      <c r="B127" s="289"/>
      <c r="C127" s="289"/>
      <c r="D127" s="289"/>
      <c r="E127" s="289"/>
      <c r="F127" s="190"/>
      <c r="G127" s="289"/>
      <c r="H127" s="289"/>
      <c r="I127" s="289"/>
      <c r="J127" s="289"/>
      <c r="K127" s="113"/>
      <c r="L127" s="133"/>
      <c r="M127" s="146"/>
      <c r="N127" s="146"/>
      <c r="O127" s="146"/>
      <c r="P127" s="146"/>
      <c r="Q127" s="146"/>
      <c r="S127" s="80"/>
      <c r="T127" s="81">
        <f>IF($B$112=$X$133,styles!E129,0)</f>
        <v>0</v>
      </c>
      <c r="U127" s="81"/>
      <c r="V127" s="82" t="str">
        <f>IF($B$112=$V$133,styles!B79,"")</f>
        <v/>
      </c>
      <c r="AG127" s="68"/>
      <c r="AH127" s="300" t="str">
        <f>print!B136</f>
        <v/>
      </c>
      <c r="AI127" s="300"/>
    </row>
    <row r="128" spans="1:37" x14ac:dyDescent="0.25">
      <c r="A128" s="110"/>
      <c r="B128" s="289"/>
      <c r="C128" s="289"/>
      <c r="D128" s="289"/>
      <c r="E128" s="289"/>
      <c r="F128" s="190"/>
      <c r="G128" s="289"/>
      <c r="H128" s="289"/>
      <c r="I128" s="289"/>
      <c r="J128" s="289"/>
      <c r="K128" s="113"/>
      <c r="L128" s="133"/>
      <c r="M128" s="146"/>
      <c r="N128" s="146"/>
      <c r="O128" s="146"/>
      <c r="P128" s="146"/>
      <c r="Q128" s="146"/>
      <c r="S128" s="80"/>
      <c r="T128" s="81">
        <f>IF($B$112=$X$133,styles!E130,0)</f>
        <v>0</v>
      </c>
      <c r="U128" s="81"/>
      <c r="V128" s="82" t="str">
        <f>IF($B$112=$V$133,styles!B80,"")</f>
        <v/>
      </c>
      <c r="X128" s="103"/>
      <c r="AG128" s="68"/>
      <c r="AH128" s="301" t="str">
        <f>print!B137</f>
        <v/>
      </c>
      <c r="AI128" s="301"/>
    </row>
    <row r="129" spans="1:35" x14ac:dyDescent="0.25">
      <c r="A129" s="110"/>
      <c r="B129" s="289"/>
      <c r="C129" s="289"/>
      <c r="D129" s="289"/>
      <c r="E129" s="289"/>
      <c r="F129" s="190"/>
      <c r="G129" s="289"/>
      <c r="H129" s="289"/>
      <c r="I129" s="289"/>
      <c r="J129" s="289"/>
      <c r="K129" s="113"/>
      <c r="L129" s="133"/>
      <c r="M129" s="146"/>
      <c r="N129" s="146"/>
      <c r="O129" s="146"/>
      <c r="P129" s="146"/>
      <c r="Q129" s="146"/>
      <c r="S129" s="80"/>
      <c r="T129" s="81">
        <f>IF($B$112=$X$133,styles!E131,0)</f>
        <v>0</v>
      </c>
      <c r="U129" s="81"/>
      <c r="V129" s="82" t="str">
        <f>IF($B$112=$V$133,styles!B81,"")</f>
        <v/>
      </c>
      <c r="AG129" s="68"/>
      <c r="AH129" s="300" t="str">
        <f>print!B138</f>
        <v/>
      </c>
      <c r="AI129" s="300"/>
    </row>
    <row r="130" spans="1:35" x14ac:dyDescent="0.25">
      <c r="A130" s="110"/>
      <c r="B130" s="289"/>
      <c r="C130" s="289"/>
      <c r="D130" s="289"/>
      <c r="E130" s="289"/>
      <c r="F130" s="190"/>
      <c r="G130" s="289"/>
      <c r="H130" s="289"/>
      <c r="I130" s="289"/>
      <c r="J130" s="289"/>
      <c r="K130" s="113"/>
      <c r="L130" s="133"/>
      <c r="M130" s="146"/>
      <c r="N130" s="146"/>
      <c r="O130" s="146"/>
      <c r="P130" s="146"/>
      <c r="Q130" s="146"/>
      <c r="S130" s="80"/>
      <c r="T130" s="81">
        <f>IF($B$112=$X$133,styles!E132,0)</f>
        <v>0</v>
      </c>
      <c r="U130" s="81"/>
      <c r="V130" s="82" t="str">
        <f>IF($B$112=$V$133,styles!B82,"")</f>
        <v/>
      </c>
      <c r="AG130" s="68"/>
      <c r="AH130" s="301" t="str">
        <f>print!B139</f>
        <v/>
      </c>
      <c r="AI130" s="301"/>
    </row>
    <row r="131" spans="1:35" x14ac:dyDescent="0.25">
      <c r="A131" s="110"/>
      <c r="B131" s="289"/>
      <c r="C131" s="289"/>
      <c r="D131" s="289"/>
      <c r="E131" s="289"/>
      <c r="F131" s="190"/>
      <c r="G131" s="190"/>
      <c r="H131" s="190"/>
      <c r="I131" s="190"/>
      <c r="J131" s="190"/>
      <c r="K131" s="113"/>
      <c r="L131" s="133"/>
      <c r="M131" s="146"/>
      <c r="N131" s="146"/>
      <c r="O131" s="146"/>
      <c r="P131" s="146"/>
      <c r="Q131" s="146"/>
      <c r="S131" s="90"/>
      <c r="T131" s="91">
        <f>IF($B$112=$X$133,styles!E133,0)</f>
        <v>0</v>
      </c>
      <c r="U131" s="91"/>
      <c r="V131" s="92" t="str">
        <f>IF($B$112=$V$133,styles!B83,"")</f>
        <v/>
      </c>
      <c r="AG131" s="68"/>
      <c r="AH131" s="300" t="str">
        <f>print!B140</f>
        <v/>
      </c>
      <c r="AI131" s="300"/>
    </row>
    <row r="132" spans="1:35" x14ac:dyDescent="0.25">
      <c r="A132" s="110"/>
      <c r="B132" s="289"/>
      <c r="C132" s="289"/>
      <c r="D132" s="289"/>
      <c r="E132" s="289"/>
      <c r="F132" s="190"/>
      <c r="G132" s="291" t="str">
        <f>IF(OR($B$112=$AB$133,$B$112=$AC$133,$B$112=$T$133),HLOOKUP($B$112,$S$133:$AE$140,$F$112+1),"")</f>
        <v/>
      </c>
      <c r="H132" s="291"/>
      <c r="I132" s="291"/>
      <c r="J132" s="291"/>
      <c r="K132" s="113"/>
      <c r="L132" s="133"/>
      <c r="M132" s="146"/>
      <c r="N132" s="146"/>
      <c r="O132" s="146"/>
      <c r="P132" s="146"/>
      <c r="Q132" s="146"/>
      <c r="AG132" s="68"/>
      <c r="AH132" s="172" t="str">
        <f>print!D152</f>
        <v>--</v>
      </c>
    </row>
    <row r="133" spans="1:35" x14ac:dyDescent="0.25">
      <c r="A133" s="110"/>
      <c r="B133" s="289"/>
      <c r="C133" s="289"/>
      <c r="D133" s="289"/>
      <c r="E133" s="289"/>
      <c r="F133" s="190"/>
      <c r="G133" s="289"/>
      <c r="H133" s="289"/>
      <c r="I133" s="289"/>
      <c r="J133" s="289"/>
      <c r="K133" s="113"/>
      <c r="L133" s="133"/>
      <c r="M133" s="146"/>
      <c r="N133" s="146"/>
      <c r="O133" s="146"/>
      <c r="P133" s="146"/>
      <c r="Q133" s="146"/>
      <c r="S133" s="100"/>
      <c r="T133" s="253" t="s">
        <v>1493</v>
      </c>
      <c r="U133" s="253" t="s">
        <v>1517</v>
      </c>
      <c r="V133" s="116" t="s">
        <v>263</v>
      </c>
      <c r="W133" s="117" t="s">
        <v>709</v>
      </c>
      <c r="X133" s="203" t="s">
        <v>1179</v>
      </c>
      <c r="Y133" s="203" t="s">
        <v>1181</v>
      </c>
      <c r="Z133" s="117" t="s">
        <v>726</v>
      </c>
      <c r="AA133" s="203" t="s">
        <v>1180</v>
      </c>
      <c r="AB133" s="117" t="s">
        <v>710</v>
      </c>
      <c r="AC133" s="118" t="s">
        <v>711</v>
      </c>
      <c r="AD133" s="118" t="s">
        <v>712</v>
      </c>
      <c r="AE133" s="256" t="s">
        <v>1753</v>
      </c>
      <c r="AG133" s="68"/>
      <c r="AH133" s="301" t="str">
        <f>print!B153</f>
        <v/>
      </c>
      <c r="AI133" s="301"/>
    </row>
    <row r="134" spans="1:35" x14ac:dyDescent="0.25">
      <c r="A134" s="110"/>
      <c r="B134" s="289"/>
      <c r="C134" s="289"/>
      <c r="D134" s="289"/>
      <c r="E134" s="289"/>
      <c r="F134" s="190"/>
      <c r="G134" s="289"/>
      <c r="H134" s="289"/>
      <c r="I134" s="289"/>
      <c r="J134" s="289"/>
      <c r="K134" s="113"/>
      <c r="L134" s="133"/>
      <c r="M134" s="146"/>
      <c r="N134" s="146"/>
      <c r="O134" s="146"/>
      <c r="P134" s="146"/>
      <c r="Q134" s="146"/>
      <c r="S134" s="80">
        <v>1</v>
      </c>
      <c r="T134" s="81" t="s">
        <v>1828</v>
      </c>
      <c r="U134" s="83" t="s">
        <v>708</v>
      </c>
      <c r="V134" s="81" t="s">
        <v>889</v>
      </c>
      <c r="W134" s="81" t="s">
        <v>759</v>
      </c>
      <c r="X134" s="103" t="s">
        <v>1298</v>
      </c>
      <c r="Y134" s="103" t="s">
        <v>1327</v>
      </c>
      <c r="Z134" s="81" t="s">
        <v>762</v>
      </c>
      <c r="AA134" s="81" t="s">
        <v>1308</v>
      </c>
      <c r="AB134" s="81" t="s">
        <v>761</v>
      </c>
      <c r="AC134" s="85" t="s">
        <v>811</v>
      </c>
      <c r="AD134" s="85" t="s">
        <v>760</v>
      </c>
      <c r="AE134" s="82" t="s">
        <v>1817</v>
      </c>
      <c r="AG134" s="68"/>
      <c r="AH134" s="300" t="str">
        <f>print!B154</f>
        <v/>
      </c>
      <c r="AI134" s="300"/>
    </row>
    <row r="135" spans="1:35" x14ac:dyDescent="0.25">
      <c r="A135" s="110"/>
      <c r="B135" s="289"/>
      <c r="C135" s="289"/>
      <c r="D135" s="289"/>
      <c r="E135" s="289"/>
      <c r="F135" s="190"/>
      <c r="G135" s="289"/>
      <c r="H135" s="289"/>
      <c r="I135" s="289"/>
      <c r="J135" s="289"/>
      <c r="K135" s="113"/>
      <c r="L135" s="133"/>
      <c r="M135" s="146"/>
      <c r="N135" s="146"/>
      <c r="O135" s="146"/>
      <c r="P135" s="146"/>
      <c r="Q135" s="146"/>
      <c r="S135" s="80">
        <v>2</v>
      </c>
      <c r="T135" s="81" t="s">
        <v>1828</v>
      </c>
      <c r="U135" s="83" t="s">
        <v>708</v>
      </c>
      <c r="V135" s="81" t="s">
        <v>890</v>
      </c>
      <c r="W135" s="81" t="s">
        <v>763</v>
      </c>
      <c r="X135" s="103" t="s">
        <v>1299</v>
      </c>
      <c r="Y135" s="103" t="s">
        <v>1328</v>
      </c>
      <c r="Z135" s="81" t="s">
        <v>765</v>
      </c>
      <c r="AA135" s="81" t="s">
        <v>1310</v>
      </c>
      <c r="AB135" s="81" t="s">
        <v>766</v>
      </c>
      <c r="AC135" s="85" t="s">
        <v>811</v>
      </c>
      <c r="AD135" s="85" t="s">
        <v>764</v>
      </c>
      <c r="AE135" s="82" t="s">
        <v>1817</v>
      </c>
      <c r="AG135" s="68"/>
      <c r="AH135" s="301" t="str">
        <f>print!B155</f>
        <v/>
      </c>
      <c r="AI135" s="301"/>
    </row>
    <row r="136" spans="1:35" x14ac:dyDescent="0.25">
      <c r="A136" s="110"/>
      <c r="B136" s="289"/>
      <c r="C136" s="289"/>
      <c r="D136" s="289"/>
      <c r="E136" s="289"/>
      <c r="F136" s="190"/>
      <c r="G136" s="289"/>
      <c r="H136" s="289"/>
      <c r="I136" s="289"/>
      <c r="J136" s="289"/>
      <c r="K136" s="113"/>
      <c r="L136" s="133"/>
      <c r="M136" s="146"/>
      <c r="N136" s="146"/>
      <c r="O136" s="146"/>
      <c r="P136" s="146"/>
      <c r="Q136" s="146"/>
      <c r="S136" s="80">
        <v>3</v>
      </c>
      <c r="T136" s="81" t="s">
        <v>1828</v>
      </c>
      <c r="U136" s="83" t="s">
        <v>708</v>
      </c>
      <c r="V136" s="81" t="s">
        <v>891</v>
      </c>
      <c r="W136" s="81" t="s">
        <v>767</v>
      </c>
      <c r="X136" s="103" t="s">
        <v>1300</v>
      </c>
      <c r="Y136" s="103" t="s">
        <v>1329</v>
      </c>
      <c r="Z136" s="81" t="s">
        <v>769</v>
      </c>
      <c r="AA136" s="81" t="s">
        <v>1311</v>
      </c>
      <c r="AB136" s="81" t="s">
        <v>770</v>
      </c>
      <c r="AC136" s="85" t="s">
        <v>811</v>
      </c>
      <c r="AD136" s="85" t="s">
        <v>768</v>
      </c>
      <c r="AE136" s="82" t="s">
        <v>1817</v>
      </c>
      <c r="AG136" s="68"/>
      <c r="AH136" s="300" t="str">
        <f>print!B156</f>
        <v/>
      </c>
      <c r="AI136" s="300"/>
    </row>
    <row r="137" spans="1:35" x14ac:dyDescent="0.25">
      <c r="A137" s="110"/>
      <c r="B137" s="289"/>
      <c r="C137" s="289"/>
      <c r="D137" s="289"/>
      <c r="E137" s="289"/>
      <c r="F137" s="190"/>
      <c r="G137" s="289"/>
      <c r="H137" s="289"/>
      <c r="I137" s="289"/>
      <c r="J137" s="289"/>
      <c r="K137" s="113"/>
      <c r="L137" s="133"/>
      <c r="S137" s="80">
        <v>4</v>
      </c>
      <c r="T137" s="81" t="s">
        <v>1828</v>
      </c>
      <c r="U137" s="83" t="s">
        <v>708</v>
      </c>
      <c r="V137" s="81" t="s">
        <v>892</v>
      </c>
      <c r="W137" s="81" t="s">
        <v>771</v>
      </c>
      <c r="X137" s="103" t="s">
        <v>1301</v>
      </c>
      <c r="Y137" s="103" t="s">
        <v>1330</v>
      </c>
      <c r="Z137" s="81" t="s">
        <v>773</v>
      </c>
      <c r="AA137" s="81" t="s">
        <v>1312</v>
      </c>
      <c r="AB137" s="81" t="s">
        <v>774</v>
      </c>
      <c r="AC137" s="85" t="s">
        <v>811</v>
      </c>
      <c r="AD137" s="85" t="s">
        <v>772</v>
      </c>
      <c r="AE137" s="82" t="s">
        <v>1817</v>
      </c>
      <c r="AG137" s="68"/>
      <c r="AH137" s="301" t="str">
        <f>print!B157</f>
        <v/>
      </c>
      <c r="AI137" s="301"/>
    </row>
    <row r="138" spans="1:35" x14ac:dyDescent="0.25">
      <c r="A138" s="110"/>
      <c r="B138" s="289"/>
      <c r="C138" s="289"/>
      <c r="D138" s="289"/>
      <c r="E138" s="289"/>
      <c r="F138" s="190"/>
      <c r="G138" s="289"/>
      <c r="H138" s="289"/>
      <c r="I138" s="289"/>
      <c r="J138" s="289"/>
      <c r="K138" s="113"/>
      <c r="S138" s="80">
        <v>5</v>
      </c>
      <c r="T138" s="81" t="s">
        <v>1828</v>
      </c>
      <c r="U138" s="83" t="s">
        <v>708</v>
      </c>
      <c r="V138" s="81" t="s">
        <v>893</v>
      </c>
      <c r="W138" s="81" t="s">
        <v>775</v>
      </c>
      <c r="X138" s="103" t="s">
        <v>1302</v>
      </c>
      <c r="Y138" s="103" t="s">
        <v>1331</v>
      </c>
      <c r="Z138" s="81" t="s">
        <v>776</v>
      </c>
      <c r="AA138" s="81" t="s">
        <v>1313</v>
      </c>
      <c r="AB138" s="81" t="s">
        <v>777</v>
      </c>
      <c r="AC138" s="85" t="s">
        <v>811</v>
      </c>
      <c r="AD138" s="85" t="s">
        <v>708</v>
      </c>
      <c r="AE138" s="82" t="s">
        <v>1817</v>
      </c>
      <c r="AG138" s="68"/>
      <c r="AH138" s="300" t="str">
        <f>print!B158</f>
        <v/>
      </c>
      <c r="AI138" s="300"/>
    </row>
    <row r="139" spans="1:35" x14ac:dyDescent="0.25">
      <c r="A139" s="110"/>
      <c r="B139" s="289"/>
      <c r="C139" s="289"/>
      <c r="D139" s="289"/>
      <c r="E139" s="289"/>
      <c r="F139" s="190"/>
      <c r="G139" s="289"/>
      <c r="H139" s="289"/>
      <c r="I139" s="289"/>
      <c r="J139" s="289"/>
      <c r="K139" s="113"/>
      <c r="S139" s="80">
        <v>6</v>
      </c>
      <c r="T139" s="81" t="s">
        <v>1828</v>
      </c>
      <c r="U139" s="83" t="s">
        <v>708</v>
      </c>
      <c r="V139" s="81" t="s">
        <v>894</v>
      </c>
      <c r="W139" s="81" t="s">
        <v>778</v>
      </c>
      <c r="X139" s="103" t="s">
        <v>1303</v>
      </c>
      <c r="Y139" s="103" t="s">
        <v>1332</v>
      </c>
      <c r="Z139" s="81" t="s">
        <v>779</v>
      </c>
      <c r="AA139" s="81" t="s">
        <v>1314</v>
      </c>
      <c r="AB139" s="81" t="s">
        <v>780</v>
      </c>
      <c r="AC139" s="85" t="s">
        <v>811</v>
      </c>
      <c r="AD139" s="85" t="s">
        <v>708</v>
      </c>
      <c r="AE139" s="82" t="s">
        <v>1817</v>
      </c>
      <c r="AG139" s="68"/>
      <c r="AH139" s="301" t="str">
        <f>print!B159</f>
        <v/>
      </c>
      <c r="AI139" s="301"/>
    </row>
    <row r="140" spans="1:35" ht="15.75" thickBot="1" x14ac:dyDescent="0.3">
      <c r="A140" s="126"/>
      <c r="B140" s="127"/>
      <c r="C140" s="127"/>
      <c r="D140" s="127"/>
      <c r="E140" s="127"/>
      <c r="F140" s="127"/>
      <c r="G140" s="127"/>
      <c r="H140" s="127"/>
      <c r="I140" s="127"/>
      <c r="J140" s="127"/>
      <c r="K140" s="128"/>
      <c r="S140" s="80">
        <v>7</v>
      </c>
      <c r="T140" s="81" t="s">
        <v>1828</v>
      </c>
      <c r="U140" s="83" t="s">
        <v>708</v>
      </c>
      <c r="V140" s="81" t="s">
        <v>894</v>
      </c>
      <c r="W140" s="81" t="s">
        <v>809</v>
      </c>
      <c r="X140" s="103" t="s">
        <v>1304</v>
      </c>
      <c r="Y140" s="81" t="s">
        <v>708</v>
      </c>
      <c r="Z140" s="81" t="s">
        <v>781</v>
      </c>
      <c r="AA140" s="81" t="s">
        <v>1315</v>
      </c>
      <c r="AB140" s="81" t="s">
        <v>782</v>
      </c>
      <c r="AC140" s="85" t="s">
        <v>812</v>
      </c>
      <c r="AD140" s="85" t="s">
        <v>708</v>
      </c>
      <c r="AE140" s="82" t="s">
        <v>1817</v>
      </c>
      <c r="AG140" s="68"/>
      <c r="AH140" s="300" t="str">
        <f>print!B160</f>
        <v/>
      </c>
      <c r="AI140" s="300"/>
    </row>
    <row r="141" spans="1:35" x14ac:dyDescent="0.25">
      <c r="S141" s="80">
        <v>1</v>
      </c>
      <c r="T141" s="81" t="s">
        <v>1822</v>
      </c>
      <c r="U141" s="81" t="s">
        <v>1829</v>
      </c>
      <c r="V141" s="81" t="s">
        <v>895</v>
      </c>
      <c r="W141" s="81" t="s">
        <v>783</v>
      </c>
      <c r="X141" s="81" t="s">
        <v>1291</v>
      </c>
      <c r="Y141" s="103" t="s">
        <v>1326</v>
      </c>
      <c r="Z141" s="81" t="s">
        <v>784</v>
      </c>
      <c r="AA141" s="81" t="s">
        <v>1309</v>
      </c>
      <c r="AB141" s="81" t="s">
        <v>785</v>
      </c>
      <c r="AC141" s="81" t="s">
        <v>786</v>
      </c>
      <c r="AD141" s="81" t="s">
        <v>806</v>
      </c>
      <c r="AE141" s="82" t="s">
        <v>784</v>
      </c>
      <c r="AG141" s="68"/>
      <c r="AH141" s="301" t="str">
        <f>print!B161</f>
        <v/>
      </c>
      <c r="AI141" s="301"/>
    </row>
    <row r="142" spans="1:35" x14ac:dyDescent="0.25">
      <c r="S142" s="80">
        <v>2</v>
      </c>
      <c r="T142" s="81" t="s">
        <v>1823</v>
      </c>
      <c r="U142" s="81" t="s">
        <v>1830</v>
      </c>
      <c r="V142" s="81" t="str">
        <f>IF($S$126=2,"Select 4 minor glamours at rank 1","Select 2 minor glamours at rank 2")</f>
        <v>Select 2 minor glamours at rank 2</v>
      </c>
      <c r="W142" s="81" t="s">
        <v>787</v>
      </c>
      <c r="X142" s="81" t="s">
        <v>1292</v>
      </c>
      <c r="Y142" s="103" t="s">
        <v>1334</v>
      </c>
      <c r="Z142" s="81" t="s">
        <v>788</v>
      </c>
      <c r="AA142" s="81" t="s">
        <v>1309</v>
      </c>
      <c r="AB142" s="81" t="s">
        <v>789</v>
      </c>
      <c r="AC142" s="81" t="s">
        <v>790</v>
      </c>
      <c r="AD142" s="81" t="s">
        <v>807</v>
      </c>
      <c r="AE142" s="82" t="s">
        <v>788</v>
      </c>
      <c r="AG142" s="68"/>
      <c r="AH142" s="300" t="str">
        <f>print!B162</f>
        <v/>
      </c>
      <c r="AI142" s="300"/>
    </row>
    <row r="143" spans="1:35" x14ac:dyDescent="0.25">
      <c r="S143" s="80">
        <v>3</v>
      </c>
      <c r="T143" s="81" t="s">
        <v>1824</v>
      </c>
      <c r="U143" s="81" t="s">
        <v>1831</v>
      </c>
      <c r="V143" s="81" t="str">
        <f>IF($S$126=3,"Select all 5 minor glamours at rank 1",IF($S$126=2,"Select 2 minor glamours at 2 and 2 at 1","Select 2 minor glamours at rank 3"))</f>
        <v>Select 2 minor glamours at rank 3</v>
      </c>
      <c r="W143" s="81" t="s">
        <v>791</v>
      </c>
      <c r="X143" s="81" t="s">
        <v>1293</v>
      </c>
      <c r="Y143" s="103" t="s">
        <v>1335</v>
      </c>
      <c r="Z143" s="81" t="s">
        <v>792</v>
      </c>
      <c r="AA143" s="81" t="s">
        <v>1309</v>
      </c>
      <c r="AB143" s="81" t="s">
        <v>793</v>
      </c>
      <c r="AC143" s="81" t="s">
        <v>794</v>
      </c>
      <c r="AD143" s="81" t="s">
        <v>808</v>
      </c>
      <c r="AE143" s="82" t="s">
        <v>792</v>
      </c>
      <c r="AG143" s="68"/>
      <c r="AH143" s="301" t="str">
        <f>print!B163</f>
        <v/>
      </c>
      <c r="AI143" s="301"/>
    </row>
    <row r="144" spans="1:35" x14ac:dyDescent="0.25">
      <c r="S144" s="80">
        <v>4</v>
      </c>
      <c r="T144" s="81" t="s">
        <v>1825</v>
      </c>
      <c r="U144" s="81" t="s">
        <v>1832</v>
      </c>
      <c r="V144" s="81" t="str">
        <f>IF($S$126=4,"Select all 5 minor glamours at rank 1",IF($S$126=3,"Select 3 glamours at 1 and 2 at 2",IF($S$126=2,"Select 4 minor glamours at 2 or select 2 at 1 and 2 at 3","Select 2 minor glamours at 4")))</f>
        <v>Select 2 minor glamours at 4</v>
      </c>
      <c r="W144" s="81" t="s">
        <v>795</v>
      </c>
      <c r="X144" s="81" t="s">
        <v>1294</v>
      </c>
      <c r="Y144" s="103" t="s">
        <v>1336</v>
      </c>
      <c r="Z144" s="81" t="s">
        <v>796</v>
      </c>
      <c r="AA144" s="81" t="s">
        <v>1309</v>
      </c>
      <c r="AB144" s="81" t="s">
        <v>797</v>
      </c>
      <c r="AC144" s="81" t="s">
        <v>798</v>
      </c>
      <c r="AD144" s="81" t="s">
        <v>808</v>
      </c>
      <c r="AE144" s="82" t="s">
        <v>796</v>
      </c>
      <c r="AG144" s="68"/>
      <c r="AH144" s="300" t="str">
        <f>print!B164</f>
        <v/>
      </c>
      <c r="AI144" s="300"/>
    </row>
    <row r="145" spans="19:35" x14ac:dyDescent="0.25">
      <c r="S145" s="80">
        <v>5</v>
      </c>
      <c r="T145" s="81" t="s">
        <v>1827</v>
      </c>
      <c r="U145" s="81" t="s">
        <v>1833</v>
      </c>
      <c r="V145" s="81" t="str">
        <f>IF($S$126=5,"Select all 5 minor glamours at rank 1",IF($S$126=4,"Select 2 minor glamours at rank 2 and 3 at rank 1",IF($S$126=3,"Select 2 glamours at 3 &amp; 2 at 1, or select 4 at 2 &amp; 1 at 1",IF($S$126=2,"Select 2 glamours at 4 &amp; 2 at 1, or select 2 at 3 &amp; 2 at 2","Select 2 minor glamours at 5"))))</f>
        <v>Select 2 minor glamours at 5</v>
      </c>
      <c r="W145" s="81" t="s">
        <v>799</v>
      </c>
      <c r="X145" s="81" t="s">
        <v>1295</v>
      </c>
      <c r="Y145" s="103" t="s">
        <v>1333</v>
      </c>
      <c r="Z145" s="81" t="s">
        <v>708</v>
      </c>
      <c r="AA145" s="81" t="s">
        <v>1309</v>
      </c>
      <c r="AB145" s="81" t="s">
        <v>800</v>
      </c>
      <c r="AC145" s="81" t="s">
        <v>801</v>
      </c>
      <c r="AD145" s="81" t="s">
        <v>708</v>
      </c>
      <c r="AE145" s="120" t="s">
        <v>708</v>
      </c>
      <c r="AG145" s="68"/>
      <c r="AH145" s="301" t="str">
        <f>print!B165</f>
        <v/>
      </c>
      <c r="AI145" s="301"/>
    </row>
    <row r="146" spans="19:35" x14ac:dyDescent="0.25">
      <c r="S146" s="80">
        <v>6</v>
      </c>
      <c r="T146" s="124" t="s">
        <v>708</v>
      </c>
      <c r="U146" s="81" t="s">
        <v>1834</v>
      </c>
      <c r="V146" s="81" t="str">
        <f>IF($S$126=5,"Select 2 minor glamours at rank 2 and 3 at rank 1",IF($S$126=4,"Select 2 glamours at 3 &amp; 2 at 1, or select 4 at 2 &amp; 1 at 1",IF($S$126=3,"Select (2 glamours at 3, 2 at 2 &amp; 1 at 1), or (2 at 4 &amp; 3 at 1), or all 5 at 2",IF($S$126=2,"Select 2 glamours at 5 &amp; 2 at 1, or  2 at 4 &amp; 2 at 2, or 4 at 3","Select 2 minor glamours at 5"))))</f>
        <v>Select 2 minor glamours at 5</v>
      </c>
      <c r="W146" s="81" t="s">
        <v>802</v>
      </c>
      <c r="X146" s="81" t="s">
        <v>1296</v>
      </c>
      <c r="Y146" s="103" t="s">
        <v>1333</v>
      </c>
      <c r="Z146" s="81" t="s">
        <v>708</v>
      </c>
      <c r="AA146" s="81" t="s">
        <v>1309</v>
      </c>
      <c r="AB146" s="81" t="s">
        <v>803</v>
      </c>
      <c r="AC146" s="81" t="s">
        <v>804</v>
      </c>
      <c r="AD146" s="81" t="s">
        <v>708</v>
      </c>
      <c r="AE146" s="120" t="s">
        <v>708</v>
      </c>
      <c r="AG146" s="68"/>
      <c r="AH146" s="300" t="str">
        <f>print!B166</f>
        <v/>
      </c>
      <c r="AI146" s="300"/>
    </row>
    <row r="147" spans="19:35" x14ac:dyDescent="0.25">
      <c r="S147" s="90">
        <v>7</v>
      </c>
      <c r="T147" s="122" t="s">
        <v>708</v>
      </c>
      <c r="U147" s="122" t="s">
        <v>708</v>
      </c>
      <c r="V147" s="91" t="str">
        <f>IF($S$126=5,"Select 2 glamours at 3 &amp; 2 at 1, or select 4 at 2 &amp; 1 at 1",IF($S$126=4,"Select (2 glamours at 3, 2 at 2 &amp; 1 at 1), or (2 at 4 &amp; 3 at 1), or all 5 at 2",IF($S$126=3,"Select (2 glamours at 4, 2 at 2 &amp; 1 at 1), or (2 at 5 &amp; 3 at 1), or (2 at 3, &amp; 3 at 2)",IF($S$126=2,"Select 2 glamours at 5 &amp; 2 at 2, or  2 at 4 &amp; 2 at 3, or 4 at 3","Select 2 minor glamours at 5"))))</f>
        <v>Select 2 minor glamours at 5</v>
      </c>
      <c r="W147" s="91" t="s">
        <v>805</v>
      </c>
      <c r="X147" s="91" t="s">
        <v>1297</v>
      </c>
      <c r="Y147" s="91" t="s">
        <v>708</v>
      </c>
      <c r="Z147" s="91" t="s">
        <v>708</v>
      </c>
      <c r="AA147" s="91" t="s">
        <v>1309</v>
      </c>
      <c r="AB147" s="122" t="s">
        <v>810</v>
      </c>
      <c r="AC147" s="122" t="s">
        <v>708</v>
      </c>
      <c r="AD147" s="122" t="s">
        <v>708</v>
      </c>
      <c r="AE147" s="123" t="s">
        <v>708</v>
      </c>
      <c r="AG147" s="68"/>
      <c r="AH147" s="301" t="str">
        <f>print!B167</f>
        <v/>
      </c>
      <c r="AI147" s="301"/>
    </row>
    <row r="148" spans="19:35" x14ac:dyDescent="0.25">
      <c r="T148" s="103" t="s">
        <v>1505</v>
      </c>
      <c r="U148" s="103" t="s">
        <v>1839</v>
      </c>
      <c r="V148" s="68" t="s">
        <v>896</v>
      </c>
      <c r="W148" s="103" t="s">
        <v>821</v>
      </c>
      <c r="X148" s="103" t="s">
        <v>1257</v>
      </c>
      <c r="Y148" s="103" t="s">
        <v>1338</v>
      </c>
      <c r="Z148" s="103" t="s">
        <v>822</v>
      </c>
      <c r="AA148" s="103" t="s">
        <v>1215</v>
      </c>
      <c r="AB148" s="103" t="s">
        <v>758</v>
      </c>
      <c r="AC148" s="124" t="s">
        <v>708</v>
      </c>
      <c r="AD148" s="124" t="s">
        <v>825</v>
      </c>
      <c r="AE148" s="103" t="s">
        <v>1818</v>
      </c>
      <c r="AG148" s="68"/>
      <c r="AH148" s="300" t="str">
        <f>print!B168</f>
        <v/>
      </c>
      <c r="AI148" s="300"/>
    </row>
    <row r="149" spans="19:35" x14ac:dyDescent="0.25">
      <c r="T149" s="68" t="s">
        <v>1494</v>
      </c>
      <c r="U149" s="68" t="s">
        <v>1840</v>
      </c>
      <c r="V149" s="68" t="s">
        <v>897</v>
      </c>
      <c r="W149" s="103" t="s">
        <v>820</v>
      </c>
      <c r="X149" s="103" t="s">
        <v>1258</v>
      </c>
      <c r="Y149" s="103" t="s">
        <v>1339</v>
      </c>
      <c r="Z149" s="103" t="s">
        <v>823</v>
      </c>
      <c r="AA149" s="103" t="s">
        <v>1319</v>
      </c>
      <c r="AB149" s="103" t="s">
        <v>757</v>
      </c>
      <c r="AC149" s="103" t="s">
        <v>824</v>
      </c>
      <c r="AD149" s="103" t="s">
        <v>826</v>
      </c>
      <c r="AE149" s="103" t="s">
        <v>823</v>
      </c>
      <c r="AG149" s="68"/>
      <c r="AH149" s="301" t="str">
        <f>print!B169</f>
        <v/>
      </c>
      <c r="AI149" s="301"/>
    </row>
    <row r="150" spans="19:35" x14ac:dyDescent="0.25">
      <c r="T150" s="124" t="s">
        <v>708</v>
      </c>
      <c r="U150" s="68" t="s">
        <v>1836</v>
      </c>
      <c r="V150" s="68" t="s">
        <v>898</v>
      </c>
      <c r="W150" s="103" t="s">
        <v>888</v>
      </c>
      <c r="X150" s="103" t="s">
        <v>1259</v>
      </c>
      <c r="Y150" s="103" t="s">
        <v>1337</v>
      </c>
      <c r="Z150" s="124" t="s">
        <v>708</v>
      </c>
      <c r="AA150" s="124" t="s">
        <v>1307</v>
      </c>
      <c r="AB150" s="103" t="s">
        <v>900</v>
      </c>
      <c r="AC150" s="85" t="s">
        <v>811</v>
      </c>
      <c r="AD150" s="85" t="s">
        <v>912</v>
      </c>
      <c r="AE150" s="124" t="s">
        <v>708</v>
      </c>
      <c r="AG150" s="68"/>
      <c r="AH150" s="300" t="str">
        <f>print!B170</f>
        <v/>
      </c>
      <c r="AI150" s="300"/>
    </row>
    <row r="151" spans="19:35" x14ac:dyDescent="0.25">
      <c r="T151" s="68" t="s">
        <v>1826</v>
      </c>
      <c r="U151" s="68" t="s">
        <v>1835</v>
      </c>
      <c r="V151" s="68" t="s">
        <v>898</v>
      </c>
      <c r="W151" s="124" t="s">
        <v>708</v>
      </c>
      <c r="X151" s="124" t="s">
        <v>1260</v>
      </c>
      <c r="Y151" s="103" t="s">
        <v>1337</v>
      </c>
      <c r="Z151" s="68" t="s">
        <v>887</v>
      </c>
      <c r="AA151" s="103" t="s">
        <v>1306</v>
      </c>
      <c r="AB151" s="68" t="s">
        <v>899</v>
      </c>
      <c r="AC151" s="103" t="s">
        <v>913</v>
      </c>
      <c r="AD151" s="103" t="s">
        <v>911</v>
      </c>
      <c r="AE151" s="68" t="s">
        <v>887</v>
      </c>
      <c r="AG151" s="68"/>
      <c r="AH151" s="301" t="str">
        <f>print!B171</f>
        <v/>
      </c>
      <c r="AI151" s="301"/>
    </row>
    <row r="152" spans="19:35" x14ac:dyDescent="0.25">
      <c r="AF152" s="103"/>
      <c r="AG152" s="68"/>
      <c r="AH152" s="300" t="str">
        <f>print!B172</f>
        <v/>
      </c>
      <c r="AI152" s="300"/>
    </row>
    <row r="153" spans="19:35" x14ac:dyDescent="0.25">
      <c r="AF153" s="103"/>
      <c r="AG153" s="68"/>
      <c r="AH153" s="301" t="str">
        <f>print!B173</f>
        <v/>
      </c>
      <c r="AI153" s="301"/>
    </row>
    <row r="154" spans="19:35" x14ac:dyDescent="0.25">
      <c r="AF154" s="103"/>
      <c r="AG154" s="68"/>
      <c r="AH154" s="300" t="str">
        <f>print!B174</f>
        <v/>
      </c>
      <c r="AI154" s="300"/>
    </row>
    <row r="155" spans="19:35" x14ac:dyDescent="0.25">
      <c r="AF155" s="103"/>
      <c r="AG155" s="68"/>
      <c r="AH155" s="301" t="str">
        <f>print!B175</f>
        <v/>
      </c>
      <c r="AI155" s="301"/>
    </row>
    <row r="156" spans="19:35" x14ac:dyDescent="0.25">
      <c r="AC156" s="103"/>
      <c r="AD156" s="103"/>
      <c r="AF156" s="103"/>
      <c r="AG156" s="68"/>
      <c r="AH156" s="300" t="str">
        <f>print!B176</f>
        <v/>
      </c>
      <c r="AI156" s="300"/>
    </row>
    <row r="157" spans="19:35" x14ac:dyDescent="0.25">
      <c r="AF157" s="103"/>
      <c r="AG157" s="68"/>
      <c r="AH157" s="301" t="str">
        <f>print!B177</f>
        <v/>
      </c>
      <c r="AI157" s="301"/>
    </row>
    <row r="158" spans="19:35" x14ac:dyDescent="0.25">
      <c r="AF158" s="103"/>
      <c r="AG158" s="68"/>
      <c r="AH158" s="300" t="str">
        <f>print!B178</f>
        <v/>
      </c>
      <c r="AI158" s="300"/>
    </row>
    <row r="159" spans="19:35" x14ac:dyDescent="0.25">
      <c r="AF159" s="103"/>
      <c r="AG159" s="68"/>
      <c r="AH159" s="301" t="str">
        <f>print!B179</f>
        <v/>
      </c>
      <c r="AI159" s="301"/>
    </row>
    <row r="160" spans="19:35" x14ac:dyDescent="0.25">
      <c r="AF160" s="103"/>
      <c r="AG160" s="68"/>
      <c r="AH160" s="300" t="str">
        <f>print!B180</f>
        <v/>
      </c>
      <c r="AI160" s="300"/>
    </row>
    <row r="161" spans="32:33" x14ac:dyDescent="0.25">
      <c r="AF161" s="103"/>
      <c r="AG161" s="68"/>
    </row>
    <row r="162" spans="32:33" x14ac:dyDescent="0.25">
      <c r="AF162" s="103"/>
    </row>
    <row r="163" spans="32:33" x14ac:dyDescent="0.25">
      <c r="AF163" s="103"/>
    </row>
    <row r="164" spans="32:33" x14ac:dyDescent="0.25">
      <c r="AF164" s="103"/>
    </row>
    <row r="165" spans="32:33" x14ac:dyDescent="0.25">
      <c r="AF165" s="103"/>
    </row>
    <row r="166" spans="32:33" x14ac:dyDescent="0.25">
      <c r="AF166" s="103"/>
    </row>
    <row r="167" spans="32:33" x14ac:dyDescent="0.25">
      <c r="AF167" s="103"/>
    </row>
    <row r="168" spans="32:33" x14ac:dyDescent="0.25">
      <c r="AF168" s="103"/>
    </row>
    <row r="169" spans="32:33" x14ac:dyDescent="0.25">
      <c r="AF169" s="103"/>
    </row>
    <row r="170" spans="32:33" x14ac:dyDescent="0.25">
      <c r="AF170" s="103"/>
    </row>
    <row r="171" spans="32:33" x14ac:dyDescent="0.25">
      <c r="AF171" s="103"/>
    </row>
    <row r="172" spans="32:33" x14ac:dyDescent="0.25">
      <c r="AF172" s="103"/>
    </row>
    <row r="173" spans="32:33" x14ac:dyDescent="0.25">
      <c r="AF173" s="103"/>
    </row>
    <row r="174" spans="32:33" x14ac:dyDescent="0.25">
      <c r="AF174" s="103" t="s">
        <v>1219</v>
      </c>
    </row>
  </sheetData>
  <sortState ref="X112:X120">
    <sortCondition ref="X144"/>
  </sortState>
  <mergeCells count="206">
    <mergeCell ref="J2:K2"/>
    <mergeCell ref="G111:J111"/>
    <mergeCell ref="AH49:AK51"/>
    <mergeCell ref="AH47:AK48"/>
    <mergeCell ref="AH43:AK45"/>
    <mergeCell ref="AH46:AK46"/>
    <mergeCell ref="AH21:AK24"/>
    <mergeCell ref="AH27:AK30"/>
    <mergeCell ref="AH20:AK20"/>
    <mergeCell ref="AH26:AK26"/>
    <mergeCell ref="AH33:AK34"/>
    <mergeCell ref="AH39:AK40"/>
    <mergeCell ref="AH41:AK42"/>
    <mergeCell ref="AH37:AK38"/>
    <mergeCell ref="AH35:AK36"/>
    <mergeCell ref="N85:O85"/>
    <mergeCell ref="N86:O86"/>
    <mergeCell ref="N83:O83"/>
    <mergeCell ref="O99:P99"/>
    <mergeCell ref="O102:P102"/>
    <mergeCell ref="AH53:AK54"/>
    <mergeCell ref="AH52:AK52"/>
    <mergeCell ref="B81:H81"/>
    <mergeCell ref="G78:H78"/>
    <mergeCell ref="AH153:AI153"/>
    <mergeCell ref="AH154:AI154"/>
    <mergeCell ref="AH155:AI155"/>
    <mergeCell ref="AH156:AI156"/>
    <mergeCell ref="AH157:AI157"/>
    <mergeCell ref="AH158:AI158"/>
    <mergeCell ref="AH159:AI159"/>
    <mergeCell ref="AH160:AI160"/>
    <mergeCell ref="AH74:AI79"/>
    <mergeCell ref="AH144:AI144"/>
    <mergeCell ref="AH145:AI145"/>
    <mergeCell ref="AH146:AI146"/>
    <mergeCell ref="AH147:AI147"/>
    <mergeCell ref="AH148:AI148"/>
    <mergeCell ref="AH149:AI149"/>
    <mergeCell ref="AH150:AI150"/>
    <mergeCell ref="AH151:AI151"/>
    <mergeCell ref="AH152:AI152"/>
    <mergeCell ref="AH135:AI135"/>
    <mergeCell ref="AH136:AI136"/>
    <mergeCell ref="AH137:AI137"/>
    <mergeCell ref="AH138:AI138"/>
    <mergeCell ref="AH139:AI139"/>
    <mergeCell ref="AH140:AI140"/>
    <mergeCell ref="AH123:AI123"/>
    <mergeCell ref="AH124:AI124"/>
    <mergeCell ref="AH141:AI141"/>
    <mergeCell ref="AH142:AI142"/>
    <mergeCell ref="AH143:AI143"/>
    <mergeCell ref="AH125:AI125"/>
    <mergeCell ref="AH126:AI126"/>
    <mergeCell ref="AH127:AI127"/>
    <mergeCell ref="AH128:AI128"/>
    <mergeCell ref="AH129:AI129"/>
    <mergeCell ref="AH130:AI130"/>
    <mergeCell ref="AH131:AI131"/>
    <mergeCell ref="AH133:AI133"/>
    <mergeCell ref="AH134:AI134"/>
    <mergeCell ref="AH120:AI120"/>
    <mergeCell ref="G118:J118"/>
    <mergeCell ref="G119:J119"/>
    <mergeCell ref="G107:H107"/>
    <mergeCell ref="I107:J107"/>
    <mergeCell ref="G109:H109"/>
    <mergeCell ref="I109:J109"/>
    <mergeCell ref="AH121:AI121"/>
    <mergeCell ref="AH122:AI122"/>
    <mergeCell ref="G115:H115"/>
    <mergeCell ref="I115:J115"/>
    <mergeCell ref="G133:J133"/>
    <mergeCell ref="G134:J134"/>
    <mergeCell ref="G135:J135"/>
    <mergeCell ref="G136:J136"/>
    <mergeCell ref="AH64:AK64"/>
    <mergeCell ref="AH62:AK63"/>
    <mergeCell ref="G117:K117"/>
    <mergeCell ref="G127:J127"/>
    <mergeCell ref="G120:J120"/>
    <mergeCell ref="G125:J125"/>
    <mergeCell ref="G126:J126"/>
    <mergeCell ref="N72:O72"/>
    <mergeCell ref="N73:O73"/>
    <mergeCell ref="N74:O74"/>
    <mergeCell ref="N67:O67"/>
    <mergeCell ref="N68:O68"/>
    <mergeCell ref="N69:O69"/>
    <mergeCell ref="N70:O70"/>
    <mergeCell ref="N71:O71"/>
    <mergeCell ref="G121:J121"/>
    <mergeCell ref="AJ115:AK120"/>
    <mergeCell ref="AH117:AI117"/>
    <mergeCell ref="AH118:AI118"/>
    <mergeCell ref="AH119:AI119"/>
    <mergeCell ref="AH60:AK61"/>
    <mergeCell ref="AH58:AK59"/>
    <mergeCell ref="AH55:AK57"/>
    <mergeCell ref="G99:K101"/>
    <mergeCell ref="G103:K105"/>
    <mergeCell ref="AH102:AI107"/>
    <mergeCell ref="AH109:AI114"/>
    <mergeCell ref="AJ81:AK86"/>
    <mergeCell ref="AJ88:AK93"/>
    <mergeCell ref="AJ95:AK100"/>
    <mergeCell ref="AJ102:AK107"/>
    <mergeCell ref="AJ109:AK114"/>
    <mergeCell ref="AH81:AI86"/>
    <mergeCell ref="AH88:AI93"/>
    <mergeCell ref="AH95:AI100"/>
    <mergeCell ref="I112:J112"/>
    <mergeCell ref="AJ67:AK72"/>
    <mergeCell ref="AJ74:AK79"/>
    <mergeCell ref="AH67:AI72"/>
    <mergeCell ref="G114:H114"/>
    <mergeCell ref="I114:J114"/>
    <mergeCell ref="F69:K75"/>
    <mergeCell ref="G139:J139"/>
    <mergeCell ref="B138:E138"/>
    <mergeCell ref="B139:E139"/>
    <mergeCell ref="G128:J128"/>
    <mergeCell ref="G129:J129"/>
    <mergeCell ref="B126:E126"/>
    <mergeCell ref="G122:J122"/>
    <mergeCell ref="G123:J123"/>
    <mergeCell ref="G124:J124"/>
    <mergeCell ref="G132:J132"/>
    <mergeCell ref="G137:J137"/>
    <mergeCell ref="G138:J138"/>
    <mergeCell ref="B127:E127"/>
    <mergeCell ref="B128:E128"/>
    <mergeCell ref="B129:E129"/>
    <mergeCell ref="B130:E130"/>
    <mergeCell ref="B131:E131"/>
    <mergeCell ref="B132:E132"/>
    <mergeCell ref="B133:E133"/>
    <mergeCell ref="B134:E134"/>
    <mergeCell ref="B135:E135"/>
    <mergeCell ref="G130:J130"/>
    <mergeCell ref="B136:E136"/>
    <mergeCell ref="B137:E137"/>
    <mergeCell ref="B119:D119"/>
    <mergeCell ref="B120:D120"/>
    <mergeCell ref="B121:D121"/>
    <mergeCell ref="B106:C106"/>
    <mergeCell ref="B107:C107"/>
    <mergeCell ref="B108:C108"/>
    <mergeCell ref="B122:D122"/>
    <mergeCell ref="B123:D123"/>
    <mergeCell ref="B124:D124"/>
    <mergeCell ref="B115:D115"/>
    <mergeCell ref="B118:D118"/>
    <mergeCell ref="B117:E117"/>
    <mergeCell ref="F24:H27"/>
    <mergeCell ref="G92:H92"/>
    <mergeCell ref="F22:H22"/>
    <mergeCell ref="B22:D22"/>
    <mergeCell ref="B83:H83"/>
    <mergeCell ref="B85:H85"/>
    <mergeCell ref="B74:C74"/>
    <mergeCell ref="F60:K60"/>
    <mergeCell ref="F61:K61"/>
    <mergeCell ref="F62:K62"/>
    <mergeCell ref="F63:K63"/>
    <mergeCell ref="F64:K64"/>
    <mergeCell ref="F65:K65"/>
    <mergeCell ref="F66:K66"/>
    <mergeCell ref="F67:K67"/>
    <mergeCell ref="B78:E78"/>
    <mergeCell ref="F68:H68"/>
    <mergeCell ref="B103:C103"/>
    <mergeCell ref="C2:H2"/>
    <mergeCell ref="C4:H4"/>
    <mergeCell ref="C6:H6"/>
    <mergeCell ref="F89:G89"/>
    <mergeCell ref="B64:C64"/>
    <mergeCell ref="B65:C65"/>
    <mergeCell ref="C99:D99"/>
    <mergeCell ref="C100:D100"/>
    <mergeCell ref="B89:C89"/>
    <mergeCell ref="B69:C69"/>
    <mergeCell ref="B70:C70"/>
    <mergeCell ref="B71:C71"/>
    <mergeCell ref="B72:C72"/>
    <mergeCell ref="B73:C73"/>
    <mergeCell ref="B17:C17"/>
    <mergeCell ref="E17:F17"/>
    <mergeCell ref="B67:C67"/>
    <mergeCell ref="B68:C68"/>
    <mergeCell ref="B60:C60"/>
    <mergeCell ref="B61:C61"/>
    <mergeCell ref="B62:C62"/>
    <mergeCell ref="B63:C63"/>
    <mergeCell ref="B24:D27"/>
    <mergeCell ref="N24:P24"/>
    <mergeCell ref="M26:P26"/>
    <mergeCell ref="N28:P28"/>
    <mergeCell ref="M66:Q66"/>
    <mergeCell ref="M40:Q40"/>
    <mergeCell ref="M6:P6"/>
    <mergeCell ref="M7:P8"/>
    <mergeCell ref="M3:N3"/>
    <mergeCell ref="M22:P22"/>
    <mergeCell ref="M21:Q21"/>
  </mergeCells>
  <conditionalFormatting sqref="P15">
    <cfRule type="cellIs" dxfId="227" priority="15" operator="greaterThan">
      <formula>15</formula>
    </cfRule>
  </conditionalFormatting>
  <conditionalFormatting sqref="P10:P14">
    <cfRule type="cellIs" dxfId="226" priority="14" operator="greaterThan">
      <formula>5</formula>
    </cfRule>
  </conditionalFormatting>
  <conditionalFormatting sqref="M1:Q1048576">
    <cfRule type="expression" dxfId="225" priority="13">
      <formula>$M$3=$T$3</formula>
    </cfRule>
  </conditionalFormatting>
  <conditionalFormatting sqref="N10:O14 N24:P24 N28:P28 N42:N57 P83 P85">
    <cfRule type="expression" dxfId="224" priority="12">
      <formula>$M$3=$T$3</formula>
    </cfRule>
  </conditionalFormatting>
  <conditionalFormatting sqref="O102:P102 O99:P99 N67:O74">
    <cfRule type="expression" dxfId="223" priority="11">
      <formula>$M$3=$T$3</formula>
    </cfRule>
  </conditionalFormatting>
  <conditionalFormatting sqref="H94">
    <cfRule type="expression" dxfId="222" priority="8">
      <formula>$M$3=$T$3</formula>
    </cfRule>
  </conditionalFormatting>
  <conditionalFormatting sqref="H95">
    <cfRule type="expression" dxfId="221" priority="7">
      <formula>$H$94="yes"</formula>
    </cfRule>
  </conditionalFormatting>
  <conditionalFormatting sqref="I107:J107">
    <cfRule type="expression" dxfId="220" priority="6">
      <formula>$G$107&lt;&gt;""</formula>
    </cfRule>
  </conditionalFormatting>
  <conditionalFormatting sqref="I109:J109">
    <cfRule type="expression" dxfId="219" priority="5">
      <formula>$G$109&lt;&gt;""</formula>
    </cfRule>
  </conditionalFormatting>
  <conditionalFormatting sqref="B118:D124">
    <cfRule type="expression" dxfId="218" priority="4">
      <formula>$B$117&lt;&gt;""</formula>
    </cfRule>
  </conditionalFormatting>
  <conditionalFormatting sqref="G118:J130">
    <cfRule type="expression" dxfId="217" priority="3">
      <formula>$G$117&lt;&gt;""</formula>
    </cfRule>
  </conditionalFormatting>
  <conditionalFormatting sqref="K111">
    <cfRule type="expression" dxfId="216" priority="2">
      <formula>$M$3=$T$3</formula>
    </cfRule>
  </conditionalFormatting>
  <conditionalFormatting sqref="B115:D115 E118:E122 K118:K122">
    <cfRule type="expression" dxfId="215" priority="787">
      <formula>$B$112=$V$133</formula>
    </cfRule>
  </conditionalFormatting>
  <conditionalFormatting sqref="I112:J112 B115:D115">
    <cfRule type="expression" dxfId="214" priority="793">
      <formula>$B$112=$AC$133</formula>
    </cfRule>
  </conditionalFormatting>
  <conditionalFormatting sqref="G133:J139">
    <cfRule type="expression" dxfId="213" priority="794">
      <formula>OR($B$112=$T$133,$B$112=$AB$133)</formula>
    </cfRule>
  </conditionalFormatting>
  <conditionalFormatting sqref="B126:E139">
    <cfRule type="expression" dxfId="212" priority="795">
      <formula>OR($B$112=$AB$133,$B$112=$AC$133)</formula>
    </cfRule>
  </conditionalFormatting>
  <conditionalFormatting sqref="F68:H68">
    <cfRule type="expression" dxfId="211" priority="1">
      <formula>$F$67&lt;&gt;""</formula>
    </cfRule>
  </conditionalFormatting>
  <dataValidations count="17">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M3 H94 K111">
      <formula1>$T$2:$T$3</formula1>
    </dataValidation>
    <dataValidation type="list" allowBlank="1" showInputMessage="1" showErrorMessage="1" sqref="J3">
      <formula1>$U$2:$U$3</formula1>
    </dataValidation>
    <dataValidation type="list" allowBlank="1" showInputMessage="1" showErrorMessage="1" sqref="B115:D115">
      <formula1>$V$112:$V$131</formula1>
    </dataValidation>
    <dataValidation type="list" allowBlank="1" showInputMessage="1" showErrorMessage="1" sqref="B118:D124">
      <formula1>$S$112:$S$121</formula1>
    </dataValidation>
    <dataValidation type="list" allowBlank="1" showInputMessage="1" showErrorMessage="1" sqref="G118:J130">
      <formula1>$T$112:$T$131</formula1>
    </dataValidation>
    <dataValidation type="list" allowBlank="1" showInputMessage="1" showErrorMessage="1" sqref="B17">
      <formula1>$S$8:$S$22</formula1>
    </dataValidation>
    <dataValidation type="list" allowBlank="1" showInputMessage="1" showErrorMessage="1" sqref="C99:D99 O99:P99 I107:J107">
      <formula1>$S$26:$S$48</formula1>
    </dataValidation>
    <dataValidation type="list" allowBlank="1" showInputMessage="1" showErrorMessage="1" sqref="C100:D100 O102:P102">
      <formula1>$V$26:$V$48</formula1>
    </dataValidation>
    <dataValidation type="list" allowBlank="1" showInputMessage="1" showErrorMessage="1" sqref="B103:C103">
      <formula1>$V$90:$V$109</formula1>
    </dataValidation>
    <dataValidation type="list" allowBlank="1" showInputMessage="1" showErrorMessage="1" sqref="B94:B96">
      <formula1>$T$91:$T$103</formula1>
    </dataValidation>
    <dataValidation type="list" allowBlank="1" showInputMessage="1" showErrorMessage="1" sqref="E17">
      <formula1>$T$56:$T$57</formula1>
    </dataValidation>
    <dataValidation type="list" allowBlank="1" showInputMessage="1" showErrorMessage="1" sqref="I109:J109">
      <formula1>$X$114:$X$116</formula1>
    </dataValidation>
    <dataValidation type="list" allowBlank="1" showInputMessage="1" showErrorMessage="1" sqref="B106:C108">
      <formula1>$X$90:$X$112</formula1>
    </dataValidation>
    <dataValidation type="list" allowBlank="1" showInputMessage="1" showErrorMessage="1" sqref="G78">
      <formula1>$S$77:$S$87</formula1>
    </dataValidation>
    <dataValidation type="list" allowBlank="1" showInputMessage="1" showErrorMessage="1" sqref="B22:D22 F22:H22">
      <formula1>$Z$8:$Z$53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advantages!$C$6:$C$135</xm:f>
          </x14:formula1>
          <xm:sqref>N67:O74 B67:C74</xm:sqref>
        </x14:dataValidation>
        <x14:dataValidation type="list" allowBlank="1" showInputMessage="1" showErrorMessage="1">
          <x14:formula1>
            <xm:f>styles!$O$37:$O$52</xm:f>
          </x14:formula1>
          <xm:sqref>F68:H68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38"/>
  <sheetViews>
    <sheetView workbookViewId="0">
      <selection activeCell="G23" sqref="G23"/>
    </sheetView>
    <sheetView workbookViewId="1"/>
    <sheetView workbookViewId="2"/>
  </sheetViews>
  <sheetFormatPr defaultRowHeight="15" x14ac:dyDescent="0.25"/>
  <cols>
    <col min="3" max="3" width="27.140625" bestFit="1" customWidth="1"/>
    <col min="4" max="4" width="11.7109375" bestFit="1" customWidth="1"/>
    <col min="6" max="6" width="12.140625" customWidth="1"/>
    <col min="7" max="7" width="8.5703125" bestFit="1" customWidth="1"/>
    <col min="8" max="8" width="6.7109375" bestFit="1" customWidth="1"/>
    <col min="9" max="9" width="32.85546875" customWidth="1"/>
    <col min="10" max="10" width="7.5703125" customWidth="1"/>
  </cols>
  <sheetData>
    <row r="4" spans="2:9" x14ac:dyDescent="0.25">
      <c r="C4" s="74" t="s">
        <v>0</v>
      </c>
      <c r="D4" s="75"/>
      <c r="E4" s="76"/>
      <c r="F4" s="76"/>
      <c r="G4" s="76"/>
      <c r="H4" s="76"/>
      <c r="I4" s="77"/>
    </row>
    <row r="5" spans="2:9" x14ac:dyDescent="0.25">
      <c r="C5" s="80" t="s">
        <v>13</v>
      </c>
      <c r="D5" s="81" t="s">
        <v>125</v>
      </c>
      <c r="E5" s="81" t="s">
        <v>126</v>
      </c>
      <c r="F5" s="81" t="s">
        <v>14</v>
      </c>
      <c r="G5" s="81" t="s">
        <v>15</v>
      </c>
      <c r="H5" s="81" t="s">
        <v>91</v>
      </c>
      <c r="I5" s="82"/>
    </row>
    <row r="6" spans="2:9" x14ac:dyDescent="0.25">
      <c r="C6" s="80" t="s">
        <v>1</v>
      </c>
      <c r="D6" s="81">
        <f>E6</f>
        <v>1</v>
      </c>
      <c r="E6" s="81">
        <v>1</v>
      </c>
      <c r="F6" s="81"/>
      <c r="G6" s="81"/>
      <c r="H6" s="81"/>
      <c r="I6" s="82" t="s">
        <v>522</v>
      </c>
    </row>
    <row r="7" spans="2:9" x14ac:dyDescent="0.25">
      <c r="C7" s="80" t="s">
        <v>149</v>
      </c>
      <c r="D7" s="81">
        <f>E7</f>
        <v>4</v>
      </c>
      <c r="E7" s="81">
        <v>4</v>
      </c>
      <c r="F7" s="81"/>
      <c r="G7" s="81"/>
      <c r="H7" s="81">
        <v>1</v>
      </c>
      <c r="I7" s="82" t="s">
        <v>422</v>
      </c>
    </row>
    <row r="8" spans="2:9" x14ac:dyDescent="0.25">
      <c r="B8" s="37" t="s">
        <v>1772</v>
      </c>
      <c r="C8" s="247" t="s">
        <v>1576</v>
      </c>
      <c r="D8" s="248">
        <f>E8</f>
        <v>2</v>
      </c>
      <c r="E8" s="248">
        <v>2</v>
      </c>
      <c r="F8" s="248"/>
      <c r="G8" s="248"/>
      <c r="H8" s="248"/>
      <c r="I8" s="249" t="s">
        <v>1577</v>
      </c>
    </row>
    <row r="9" spans="2:9" x14ac:dyDescent="0.25">
      <c r="B9" s="37" t="s">
        <v>1773</v>
      </c>
      <c r="C9" s="202" t="s">
        <v>1133</v>
      </c>
      <c r="D9" s="81">
        <f>E9</f>
        <v>2</v>
      </c>
      <c r="E9" s="81">
        <v>2</v>
      </c>
      <c r="F9" s="81"/>
      <c r="G9" s="81"/>
      <c r="H9" s="81"/>
      <c r="I9" s="206" t="s">
        <v>1134</v>
      </c>
    </row>
    <row r="10" spans="2:9" x14ac:dyDescent="0.25">
      <c r="C10" s="80" t="s">
        <v>150</v>
      </c>
      <c r="D10" s="88" t="str">
        <f>IF(builder!$B$17=F10,E10,"NO")</f>
        <v>NO</v>
      </c>
      <c r="E10" s="81">
        <v>4</v>
      </c>
      <c r="F10" s="81" t="s">
        <v>208</v>
      </c>
      <c r="G10" s="81" t="s">
        <v>17</v>
      </c>
      <c r="H10" s="81"/>
      <c r="I10" s="82" t="s">
        <v>524</v>
      </c>
    </row>
    <row r="11" spans="2:9" x14ac:dyDescent="0.25">
      <c r="C11" s="80" t="s">
        <v>151</v>
      </c>
      <c r="D11" s="81">
        <f>E11</f>
        <v>3</v>
      </c>
      <c r="E11" s="81">
        <v>3</v>
      </c>
      <c r="F11" s="81"/>
      <c r="G11" s="81"/>
      <c r="H11" s="81"/>
      <c r="I11" s="82" t="s">
        <v>410</v>
      </c>
    </row>
    <row r="12" spans="2:9" x14ac:dyDescent="0.25">
      <c r="B12" s="37" t="s">
        <v>1772</v>
      </c>
      <c r="C12" s="247" t="s">
        <v>1580</v>
      </c>
      <c r="D12" s="248">
        <f>E12</f>
        <v>1</v>
      </c>
      <c r="E12" s="248">
        <v>1</v>
      </c>
      <c r="F12" s="248"/>
      <c r="G12" s="248"/>
      <c r="H12" s="248"/>
      <c r="I12" s="249" t="s">
        <v>1581</v>
      </c>
    </row>
    <row r="13" spans="2:9" x14ac:dyDescent="0.25">
      <c r="B13" s="37" t="s">
        <v>1773</v>
      </c>
      <c r="C13" s="202" t="s">
        <v>1058</v>
      </c>
      <c r="D13" s="94">
        <f>IF(builder!$B$17=F13,G13,E13)</f>
        <v>3</v>
      </c>
      <c r="E13" s="103">
        <v>3</v>
      </c>
      <c r="F13" s="204" t="s">
        <v>1037</v>
      </c>
      <c r="G13" s="81">
        <v>2</v>
      </c>
      <c r="H13" s="81"/>
      <c r="I13" s="82" t="s">
        <v>1142</v>
      </c>
    </row>
    <row r="14" spans="2:9" x14ac:dyDescent="0.25">
      <c r="C14" s="80" t="s">
        <v>152</v>
      </c>
      <c r="D14" s="81">
        <f>E14</f>
        <v>3</v>
      </c>
      <c r="E14" s="81">
        <v>3</v>
      </c>
      <c r="F14" s="81"/>
      <c r="G14" s="81"/>
      <c r="H14" s="81"/>
      <c r="I14" s="82" t="s">
        <v>527</v>
      </c>
    </row>
    <row r="15" spans="2:9" x14ac:dyDescent="0.25">
      <c r="C15" s="80" t="s">
        <v>11</v>
      </c>
      <c r="D15" s="89">
        <f>IF(builder!$T$55=1,G15,E15)</f>
        <v>2</v>
      </c>
      <c r="E15" s="81">
        <v>2</v>
      </c>
      <c r="F15" s="81" t="s">
        <v>16</v>
      </c>
      <c r="G15" s="81">
        <v>1</v>
      </c>
      <c r="H15" s="81"/>
      <c r="I15" s="82" t="s">
        <v>392</v>
      </c>
    </row>
    <row r="16" spans="2:9" x14ac:dyDescent="0.25">
      <c r="B16" s="37" t="s">
        <v>1772</v>
      </c>
      <c r="C16" s="247" t="s">
        <v>1662</v>
      </c>
      <c r="D16" s="103">
        <f t="shared" ref="D16:D21" si="0">E16</f>
        <v>3</v>
      </c>
      <c r="E16" s="103">
        <v>3</v>
      </c>
      <c r="F16" s="103"/>
      <c r="G16" s="103"/>
      <c r="H16" s="103"/>
      <c r="I16" s="125" t="s">
        <v>1663</v>
      </c>
    </row>
    <row r="17" spans="2:9" x14ac:dyDescent="0.25">
      <c r="B17" s="37" t="s">
        <v>1772</v>
      </c>
      <c r="C17" s="247" t="s">
        <v>1652</v>
      </c>
      <c r="D17" s="103">
        <f t="shared" si="0"/>
        <v>2</v>
      </c>
      <c r="E17" s="103">
        <v>2</v>
      </c>
      <c r="F17" s="103"/>
      <c r="G17" s="103"/>
      <c r="H17" s="103"/>
      <c r="I17" s="125" t="s">
        <v>1653</v>
      </c>
    </row>
    <row r="18" spans="2:9" x14ac:dyDescent="0.25">
      <c r="C18" s="80" t="s">
        <v>153</v>
      </c>
      <c r="D18" s="103">
        <f t="shared" si="0"/>
        <v>3</v>
      </c>
      <c r="E18" s="103">
        <v>3</v>
      </c>
      <c r="F18" s="103"/>
      <c r="G18" s="103"/>
      <c r="H18" s="103"/>
      <c r="I18" s="125" t="s">
        <v>411</v>
      </c>
    </row>
    <row r="19" spans="2:9" x14ac:dyDescent="0.25">
      <c r="B19" s="37" t="s">
        <v>1772</v>
      </c>
      <c r="C19" s="247" t="s">
        <v>1664</v>
      </c>
      <c r="D19" s="103">
        <f t="shared" si="0"/>
        <v>3</v>
      </c>
      <c r="E19" s="103">
        <v>3</v>
      </c>
      <c r="F19" s="103"/>
      <c r="G19" s="103"/>
      <c r="H19" s="103"/>
      <c r="I19" s="125" t="s">
        <v>1665</v>
      </c>
    </row>
    <row r="20" spans="2:9" x14ac:dyDescent="0.25">
      <c r="C20" s="80" t="s">
        <v>154</v>
      </c>
      <c r="D20" s="81">
        <f t="shared" si="0"/>
        <v>3</v>
      </c>
      <c r="E20" s="81">
        <v>3</v>
      </c>
      <c r="F20" s="81"/>
      <c r="G20" s="81"/>
      <c r="H20" s="81"/>
      <c r="I20" s="82" t="s">
        <v>412</v>
      </c>
    </row>
    <row r="21" spans="2:9" x14ac:dyDescent="0.25">
      <c r="C21" s="80" t="s">
        <v>155</v>
      </c>
      <c r="D21" s="81">
        <f t="shared" si="0"/>
        <v>3</v>
      </c>
      <c r="E21" s="81">
        <v>3</v>
      </c>
      <c r="F21" s="81"/>
      <c r="G21" s="81"/>
      <c r="H21" s="81"/>
      <c r="I21" s="82" t="s">
        <v>530</v>
      </c>
    </row>
    <row r="22" spans="2:9" x14ac:dyDescent="0.25">
      <c r="C22" s="80" t="s">
        <v>291</v>
      </c>
      <c r="D22" s="94">
        <f>IF(builder!$B$17=F22,G22,E22)</f>
        <v>3</v>
      </c>
      <c r="E22" s="81">
        <v>3</v>
      </c>
      <c r="F22" s="81" t="s">
        <v>138</v>
      </c>
      <c r="G22" s="81">
        <v>2</v>
      </c>
      <c r="H22" s="81"/>
      <c r="I22" s="82" t="s">
        <v>413</v>
      </c>
    </row>
    <row r="23" spans="2:9" x14ac:dyDescent="0.25">
      <c r="C23" s="80" t="s">
        <v>2</v>
      </c>
      <c r="D23" s="103">
        <f t="shared" ref="D23:D53" si="1">E23</f>
        <v>1</v>
      </c>
      <c r="E23" s="103">
        <v>1</v>
      </c>
      <c r="F23" s="103"/>
      <c r="G23" s="103"/>
      <c r="H23" s="103"/>
      <c r="I23" s="125" t="s">
        <v>532</v>
      </c>
    </row>
    <row r="24" spans="2:9" x14ac:dyDescent="0.25">
      <c r="B24" s="37" t="s">
        <v>1772</v>
      </c>
      <c r="C24" s="247" t="s">
        <v>1571</v>
      </c>
      <c r="D24" s="103">
        <f t="shared" si="1"/>
        <v>3</v>
      </c>
      <c r="E24" s="103">
        <v>3</v>
      </c>
      <c r="F24" s="103"/>
      <c r="G24" s="103"/>
      <c r="H24" s="103"/>
      <c r="I24" s="125" t="s">
        <v>1572</v>
      </c>
    </row>
    <row r="25" spans="2:9" x14ac:dyDescent="0.25">
      <c r="C25" s="80" t="s">
        <v>156</v>
      </c>
      <c r="D25" s="103">
        <f t="shared" si="1"/>
        <v>2</v>
      </c>
      <c r="E25" s="103">
        <v>2</v>
      </c>
      <c r="F25" s="103"/>
      <c r="G25" s="103"/>
      <c r="H25" s="103"/>
      <c r="I25" s="125" t="s">
        <v>393</v>
      </c>
    </row>
    <row r="26" spans="2:9" x14ac:dyDescent="0.25">
      <c r="C26" s="80" t="s">
        <v>157</v>
      </c>
      <c r="D26" s="103">
        <f t="shared" si="1"/>
        <v>2</v>
      </c>
      <c r="E26" s="103">
        <v>2</v>
      </c>
      <c r="F26" s="103"/>
      <c r="G26" s="103"/>
      <c r="H26" s="103"/>
      <c r="I26" s="125" t="s">
        <v>394</v>
      </c>
    </row>
    <row r="27" spans="2:9" x14ac:dyDescent="0.25">
      <c r="B27" s="37" t="s">
        <v>1773</v>
      </c>
      <c r="C27" s="202" t="s">
        <v>1092</v>
      </c>
      <c r="D27" s="103">
        <f t="shared" si="1"/>
        <v>2</v>
      </c>
      <c r="E27" s="103">
        <v>2</v>
      </c>
      <c r="F27" s="103"/>
      <c r="G27" s="103"/>
      <c r="H27" s="103"/>
      <c r="I27" s="125" t="s">
        <v>1135</v>
      </c>
    </row>
    <row r="28" spans="2:9" x14ac:dyDescent="0.25">
      <c r="B28" s="37" t="s">
        <v>1772</v>
      </c>
      <c r="C28" s="247" t="s">
        <v>1675</v>
      </c>
      <c r="D28" s="103">
        <f t="shared" si="1"/>
        <v>5</v>
      </c>
      <c r="E28" s="103">
        <v>5</v>
      </c>
      <c r="F28" s="103"/>
      <c r="G28" s="103"/>
      <c r="H28" s="103"/>
      <c r="I28" s="125" t="s">
        <v>1676</v>
      </c>
    </row>
    <row r="29" spans="2:9" x14ac:dyDescent="0.25">
      <c r="C29" s="80" t="s">
        <v>158</v>
      </c>
      <c r="D29" s="103">
        <f t="shared" si="1"/>
        <v>3</v>
      </c>
      <c r="E29" s="103">
        <v>3</v>
      </c>
      <c r="F29" s="103"/>
      <c r="G29" s="103"/>
      <c r="H29" s="103"/>
      <c r="I29" s="125" t="s">
        <v>414</v>
      </c>
    </row>
    <row r="30" spans="2:9" x14ac:dyDescent="0.25">
      <c r="B30" s="37" t="s">
        <v>1773</v>
      </c>
      <c r="C30" s="202" t="s">
        <v>1136</v>
      </c>
      <c r="D30" s="81">
        <f t="shared" si="1"/>
        <v>2</v>
      </c>
      <c r="E30" s="103">
        <v>2</v>
      </c>
      <c r="F30" s="81"/>
      <c r="G30" s="81"/>
      <c r="H30" s="81"/>
      <c r="I30" s="82" t="s">
        <v>1137</v>
      </c>
    </row>
    <row r="31" spans="2:9" x14ac:dyDescent="0.25">
      <c r="C31" s="80" t="s">
        <v>3</v>
      </c>
      <c r="D31" s="81">
        <f t="shared" si="1"/>
        <v>1</v>
      </c>
      <c r="E31" s="81">
        <v>1</v>
      </c>
      <c r="F31" s="81"/>
      <c r="G31" s="81"/>
      <c r="H31" s="81"/>
      <c r="I31" s="82" t="s">
        <v>536</v>
      </c>
    </row>
    <row r="32" spans="2:9" x14ac:dyDescent="0.25">
      <c r="C32" s="80" t="s">
        <v>159</v>
      </c>
      <c r="D32" s="81">
        <f t="shared" si="1"/>
        <v>2</v>
      </c>
      <c r="E32" s="81">
        <v>2</v>
      </c>
      <c r="F32" s="81"/>
      <c r="G32" s="81"/>
      <c r="H32" s="81"/>
      <c r="I32" s="82" t="s">
        <v>538</v>
      </c>
    </row>
    <row r="33" spans="2:9" x14ac:dyDescent="0.25">
      <c r="C33" s="80" t="s">
        <v>160</v>
      </c>
      <c r="D33" s="223">
        <f>IF(COUNTIF(builder!$B$60:$C$75,F33),G33,E33)</f>
        <v>5</v>
      </c>
      <c r="E33" s="81">
        <v>5</v>
      </c>
      <c r="F33" s="223" t="s">
        <v>1345</v>
      </c>
      <c r="G33" s="81">
        <v>3</v>
      </c>
      <c r="H33" s="81"/>
      <c r="I33" s="82" t="s">
        <v>427</v>
      </c>
    </row>
    <row r="34" spans="2:9" x14ac:dyDescent="0.25">
      <c r="C34" s="80" t="s">
        <v>161</v>
      </c>
      <c r="D34" s="94">
        <f>IF(builder!$B$17=F34,G34,E34)</f>
        <v>3</v>
      </c>
      <c r="E34" s="81">
        <v>3</v>
      </c>
      <c r="F34" s="204" t="s">
        <v>1035</v>
      </c>
      <c r="G34" s="81">
        <v>2</v>
      </c>
      <c r="H34" s="81"/>
      <c r="I34" s="82" t="s">
        <v>415</v>
      </c>
    </row>
    <row r="35" spans="2:9" x14ac:dyDescent="0.25">
      <c r="C35" s="80" t="s">
        <v>162</v>
      </c>
      <c r="D35" s="81">
        <f t="shared" si="1"/>
        <v>2</v>
      </c>
      <c r="E35" s="81">
        <v>2</v>
      </c>
      <c r="F35" s="81"/>
      <c r="G35" s="81"/>
      <c r="H35" s="81"/>
      <c r="I35" s="82" t="s">
        <v>1017</v>
      </c>
    </row>
    <row r="36" spans="2:9" x14ac:dyDescent="0.25">
      <c r="C36" s="80" t="s">
        <v>163</v>
      </c>
      <c r="D36" s="94">
        <f>IF(builder!$B$17=F36,G36,E36)</f>
        <v>2</v>
      </c>
      <c r="E36" s="81">
        <v>2</v>
      </c>
      <c r="F36" s="81" t="s">
        <v>212</v>
      </c>
      <c r="G36" s="81">
        <v>1</v>
      </c>
      <c r="H36" s="81"/>
      <c r="I36" s="82" t="s">
        <v>395</v>
      </c>
    </row>
    <row r="37" spans="2:9" x14ac:dyDescent="0.25">
      <c r="B37" s="37" t="s">
        <v>1773</v>
      </c>
      <c r="C37" s="202" t="s">
        <v>1043</v>
      </c>
      <c r="D37" s="81">
        <f t="shared" si="1"/>
        <v>1</v>
      </c>
      <c r="E37" s="103">
        <v>1</v>
      </c>
      <c r="F37" s="81"/>
      <c r="G37" s="81"/>
      <c r="H37" s="81"/>
      <c r="I37" s="82" t="s">
        <v>1130</v>
      </c>
    </row>
    <row r="38" spans="2:9" x14ac:dyDescent="0.25">
      <c r="C38" s="80" t="s">
        <v>164</v>
      </c>
      <c r="D38" s="103">
        <f t="shared" si="1"/>
        <v>2</v>
      </c>
      <c r="E38" s="103">
        <v>2</v>
      </c>
      <c r="F38" s="103"/>
      <c r="G38" s="103"/>
      <c r="H38" s="103"/>
      <c r="I38" s="125" t="s">
        <v>542</v>
      </c>
    </row>
    <row r="39" spans="2:9" x14ac:dyDescent="0.25">
      <c r="B39" s="37" t="s">
        <v>1772</v>
      </c>
      <c r="C39" s="247" t="s">
        <v>1666</v>
      </c>
      <c r="D39" s="103">
        <f t="shared" si="1"/>
        <v>3</v>
      </c>
      <c r="E39" s="103">
        <v>3</v>
      </c>
      <c r="F39" s="103"/>
      <c r="G39" s="103"/>
      <c r="H39" s="103"/>
      <c r="I39" s="125" t="s">
        <v>1667</v>
      </c>
    </row>
    <row r="40" spans="2:9" x14ac:dyDescent="0.25">
      <c r="C40" s="80" t="s">
        <v>165</v>
      </c>
      <c r="D40" s="103">
        <f t="shared" si="1"/>
        <v>3</v>
      </c>
      <c r="E40" s="103">
        <v>3</v>
      </c>
      <c r="F40" s="103"/>
      <c r="G40" s="103"/>
      <c r="H40" s="103"/>
      <c r="I40" s="125" t="s">
        <v>416</v>
      </c>
    </row>
    <row r="41" spans="2:9" x14ac:dyDescent="0.25">
      <c r="B41" s="37" t="s">
        <v>1772</v>
      </c>
      <c r="C41" s="247" t="s">
        <v>1582</v>
      </c>
      <c r="D41" s="103">
        <f t="shared" si="1"/>
        <v>1</v>
      </c>
      <c r="E41" s="103">
        <v>1</v>
      </c>
      <c r="F41" s="103"/>
      <c r="G41" s="103"/>
      <c r="H41" s="103"/>
      <c r="I41" s="125" t="s">
        <v>1583</v>
      </c>
    </row>
    <row r="42" spans="2:9" x14ac:dyDescent="0.25">
      <c r="B42" s="37" t="s">
        <v>1772</v>
      </c>
      <c r="C42" s="247" t="s">
        <v>1668</v>
      </c>
      <c r="D42" s="103">
        <f t="shared" si="1"/>
        <v>3</v>
      </c>
      <c r="E42" s="103">
        <v>3</v>
      </c>
      <c r="F42" s="103"/>
      <c r="G42" s="103"/>
      <c r="H42" s="103"/>
      <c r="I42" s="125" t="s">
        <v>1669</v>
      </c>
    </row>
    <row r="43" spans="2:9" x14ac:dyDescent="0.25">
      <c r="C43" s="221" t="s">
        <v>1341</v>
      </c>
      <c r="D43" s="103">
        <f t="shared" si="1"/>
        <v>2</v>
      </c>
      <c r="E43" s="103">
        <v>2</v>
      </c>
      <c r="F43" s="103"/>
      <c r="G43" s="103"/>
      <c r="H43" s="103"/>
      <c r="I43" s="125" t="s">
        <v>1342</v>
      </c>
    </row>
    <row r="44" spans="2:9" x14ac:dyDescent="0.25">
      <c r="B44" s="37" t="s">
        <v>1772</v>
      </c>
      <c r="C44" s="247" t="s">
        <v>1671</v>
      </c>
      <c r="D44" s="103">
        <f t="shared" si="1"/>
        <v>4</v>
      </c>
      <c r="E44" s="103">
        <v>4</v>
      </c>
      <c r="F44" s="103"/>
      <c r="G44" s="103"/>
      <c r="H44" s="103"/>
      <c r="I44" s="125" t="s">
        <v>1672</v>
      </c>
    </row>
    <row r="45" spans="2:9" x14ac:dyDescent="0.25">
      <c r="C45" s="80" t="s">
        <v>4</v>
      </c>
      <c r="D45" s="103">
        <f t="shared" si="1"/>
        <v>1</v>
      </c>
      <c r="E45" s="103">
        <v>1</v>
      </c>
      <c r="F45" s="103"/>
      <c r="G45" s="103"/>
      <c r="H45" s="103">
        <v>1</v>
      </c>
      <c r="I45" s="125" t="s">
        <v>543</v>
      </c>
    </row>
    <row r="46" spans="2:9" x14ac:dyDescent="0.25">
      <c r="C46" s="80" t="s">
        <v>166</v>
      </c>
      <c r="D46" s="103">
        <f t="shared" si="1"/>
        <v>3</v>
      </c>
      <c r="E46" s="103">
        <v>3</v>
      </c>
      <c r="F46" s="103"/>
      <c r="G46" s="103"/>
      <c r="H46" s="103"/>
      <c r="I46" s="125" t="s">
        <v>417</v>
      </c>
    </row>
    <row r="47" spans="2:9" x14ac:dyDescent="0.25">
      <c r="C47" s="80" t="s">
        <v>167</v>
      </c>
      <c r="D47" s="81">
        <f t="shared" si="1"/>
        <v>2</v>
      </c>
      <c r="E47" s="81">
        <v>2</v>
      </c>
      <c r="F47" s="81"/>
      <c r="G47" s="81"/>
      <c r="H47" s="81"/>
      <c r="I47" s="82" t="s">
        <v>396</v>
      </c>
    </row>
    <row r="48" spans="2:9" x14ac:dyDescent="0.25">
      <c r="B48" s="37" t="s">
        <v>1773</v>
      </c>
      <c r="C48" s="202" t="s">
        <v>1143</v>
      </c>
      <c r="D48" s="81">
        <f t="shared" si="1"/>
        <v>3</v>
      </c>
      <c r="E48" s="103">
        <v>3</v>
      </c>
      <c r="F48" s="81"/>
      <c r="G48" s="81"/>
      <c r="H48" s="81"/>
      <c r="I48" s="82" t="s">
        <v>1144</v>
      </c>
    </row>
    <row r="49" spans="2:9" x14ac:dyDescent="0.25">
      <c r="C49" s="80" t="s">
        <v>168</v>
      </c>
      <c r="D49" s="81">
        <f t="shared" si="1"/>
        <v>2</v>
      </c>
      <c r="E49" s="81">
        <v>2</v>
      </c>
      <c r="F49" s="81"/>
      <c r="G49" s="81"/>
      <c r="H49" s="81"/>
      <c r="I49" s="82" t="s">
        <v>397</v>
      </c>
    </row>
    <row r="50" spans="2:9" x14ac:dyDescent="0.25">
      <c r="C50" s="80" t="s">
        <v>169</v>
      </c>
      <c r="D50" s="81">
        <f t="shared" si="1"/>
        <v>2</v>
      </c>
      <c r="E50" s="81">
        <v>2</v>
      </c>
      <c r="F50" s="81"/>
      <c r="G50" s="81"/>
      <c r="H50" s="81"/>
      <c r="I50" s="68" t="s">
        <v>544</v>
      </c>
    </row>
    <row r="51" spans="2:9" x14ac:dyDescent="0.25">
      <c r="C51" s="80" t="s">
        <v>170</v>
      </c>
      <c r="D51" s="81">
        <f t="shared" si="1"/>
        <v>4</v>
      </c>
      <c r="E51" s="81">
        <v>4</v>
      </c>
      <c r="F51" s="81"/>
      <c r="G51" s="81"/>
      <c r="H51" s="81"/>
      <c r="I51" s="82" t="s">
        <v>545</v>
      </c>
    </row>
    <row r="52" spans="2:9" x14ac:dyDescent="0.25">
      <c r="B52" s="37" t="s">
        <v>1772</v>
      </c>
      <c r="C52" s="247" t="s">
        <v>1584</v>
      </c>
      <c r="D52" s="103">
        <f t="shared" si="1"/>
        <v>1</v>
      </c>
      <c r="E52" s="103">
        <v>1</v>
      </c>
      <c r="F52" s="103"/>
      <c r="G52" s="103"/>
      <c r="H52" s="103"/>
      <c r="I52" s="125" t="s">
        <v>1585</v>
      </c>
    </row>
    <row r="53" spans="2:9" x14ac:dyDescent="0.25">
      <c r="B53" s="37" t="s">
        <v>1772</v>
      </c>
      <c r="C53" s="247" t="s">
        <v>1654</v>
      </c>
      <c r="D53" s="103">
        <f t="shared" si="1"/>
        <v>2</v>
      </c>
      <c r="E53" s="103">
        <v>2</v>
      </c>
      <c r="F53" s="103"/>
      <c r="G53" s="103"/>
      <c r="H53" s="103"/>
      <c r="I53" s="125" t="s">
        <v>1655</v>
      </c>
    </row>
    <row r="54" spans="2:9" x14ac:dyDescent="0.25">
      <c r="B54" s="37" t="s">
        <v>1773</v>
      </c>
      <c r="C54" s="202" t="s">
        <v>1125</v>
      </c>
      <c r="D54" s="94">
        <f>IF(builder!$B$17=F54,G54,E54)</f>
        <v>5</v>
      </c>
      <c r="E54" s="103">
        <v>5</v>
      </c>
      <c r="F54" s="204" t="s">
        <v>1037</v>
      </c>
      <c r="G54" s="81">
        <v>3</v>
      </c>
      <c r="H54" s="81"/>
      <c r="I54" s="82" t="s">
        <v>1154</v>
      </c>
    </row>
    <row r="55" spans="2:9" x14ac:dyDescent="0.25">
      <c r="C55" s="80" t="s">
        <v>302</v>
      </c>
      <c r="D55" s="94">
        <f>IF(builder!$B$17=F55,G55,E55)</f>
        <v>5</v>
      </c>
      <c r="E55" s="81">
        <v>5</v>
      </c>
      <c r="F55" s="81" t="s">
        <v>136</v>
      </c>
      <c r="G55" s="81">
        <v>3</v>
      </c>
      <c r="H55" s="81"/>
      <c r="I55" s="82" t="s">
        <v>547</v>
      </c>
    </row>
    <row r="56" spans="2:9" x14ac:dyDescent="0.25">
      <c r="C56" s="80" t="s">
        <v>303</v>
      </c>
      <c r="D56" s="94">
        <f>IF(builder!$B$17=F56,G56,E56)</f>
        <v>5</v>
      </c>
      <c r="E56" s="81">
        <v>5</v>
      </c>
      <c r="F56" s="81" t="s">
        <v>141</v>
      </c>
      <c r="G56" s="81">
        <v>3</v>
      </c>
      <c r="H56" s="81"/>
      <c r="I56" s="82" t="s">
        <v>428</v>
      </c>
    </row>
    <row r="57" spans="2:9" x14ac:dyDescent="0.25">
      <c r="B57" s="37" t="s">
        <v>1772</v>
      </c>
      <c r="C57" s="247" t="s">
        <v>1656</v>
      </c>
      <c r="D57" s="81">
        <f t="shared" ref="D57:D59" si="2">E57</f>
        <v>2</v>
      </c>
      <c r="E57" s="103">
        <v>2</v>
      </c>
      <c r="F57" s="103"/>
      <c r="G57" s="103"/>
      <c r="H57" s="103"/>
      <c r="I57" s="125" t="s">
        <v>1657</v>
      </c>
    </row>
    <row r="58" spans="2:9" x14ac:dyDescent="0.25">
      <c r="C58" s="80" t="s">
        <v>171</v>
      </c>
      <c r="D58" s="94">
        <f>IF(builder!$B$17=F58,G58,E58)</f>
        <v>2</v>
      </c>
      <c r="E58" s="81">
        <v>2</v>
      </c>
      <c r="F58" s="204" t="s">
        <v>1036</v>
      </c>
      <c r="G58" s="81">
        <v>1</v>
      </c>
      <c r="H58" s="81"/>
      <c r="I58" s="82" t="s">
        <v>398</v>
      </c>
    </row>
    <row r="59" spans="2:9" x14ac:dyDescent="0.25">
      <c r="B59" s="37" t="s">
        <v>1773</v>
      </c>
      <c r="C59" s="202" t="s">
        <v>1070</v>
      </c>
      <c r="D59" s="81">
        <f t="shared" si="2"/>
        <v>2</v>
      </c>
      <c r="E59" s="103">
        <v>2</v>
      </c>
      <c r="F59" s="81"/>
      <c r="G59" s="81"/>
      <c r="H59" s="81"/>
      <c r="I59" s="82" t="s">
        <v>1138</v>
      </c>
    </row>
    <row r="60" spans="2:9" x14ac:dyDescent="0.25">
      <c r="C60" s="80" t="s">
        <v>172</v>
      </c>
      <c r="D60" s="103">
        <f>E60</f>
        <v>2</v>
      </c>
      <c r="E60" s="103">
        <v>2</v>
      </c>
      <c r="F60" s="103"/>
      <c r="G60" s="103"/>
      <c r="H60" s="103"/>
      <c r="I60" s="125" t="s">
        <v>1025</v>
      </c>
    </row>
    <row r="61" spans="2:9" x14ac:dyDescent="0.25">
      <c r="B61" s="37" t="s">
        <v>1772</v>
      </c>
      <c r="C61" s="247" t="s">
        <v>1586</v>
      </c>
      <c r="D61" s="103">
        <f t="shared" ref="D61" si="3">E61</f>
        <v>1</v>
      </c>
      <c r="E61" s="103">
        <v>1</v>
      </c>
      <c r="F61" s="103"/>
      <c r="G61" s="103"/>
      <c r="H61" s="103"/>
      <c r="I61" s="125" t="s">
        <v>1587</v>
      </c>
    </row>
    <row r="62" spans="2:9" x14ac:dyDescent="0.25">
      <c r="C62" s="80" t="s">
        <v>173</v>
      </c>
      <c r="D62" s="94">
        <f>IF(builder!$B$17=F62,G62,E62)</f>
        <v>5</v>
      </c>
      <c r="E62" s="81">
        <v>5</v>
      </c>
      <c r="F62" s="81" t="s">
        <v>138</v>
      </c>
      <c r="G62" s="81">
        <v>3</v>
      </c>
      <c r="H62" s="81"/>
      <c r="I62" s="82" t="s">
        <v>429</v>
      </c>
    </row>
    <row r="63" spans="2:9" x14ac:dyDescent="0.25">
      <c r="B63" s="37" t="s">
        <v>1773</v>
      </c>
      <c r="C63" s="202" t="s">
        <v>1091</v>
      </c>
      <c r="D63" s="94">
        <f>IF(builder!$B$17=F63,G63,E63)</f>
        <v>5</v>
      </c>
      <c r="E63" s="103">
        <v>5</v>
      </c>
      <c r="F63" s="204" t="s">
        <v>1035</v>
      </c>
      <c r="G63" s="103">
        <v>3</v>
      </c>
      <c r="H63" s="81"/>
      <c r="I63" s="82" t="s">
        <v>1157</v>
      </c>
    </row>
    <row r="64" spans="2:9" x14ac:dyDescent="0.25">
      <c r="C64" s="80" t="s">
        <v>5</v>
      </c>
      <c r="D64" s="81">
        <f>E64</f>
        <v>1</v>
      </c>
      <c r="E64" s="81">
        <v>1</v>
      </c>
      <c r="F64" s="81"/>
      <c r="G64" s="81"/>
      <c r="H64" s="81">
        <v>1</v>
      </c>
      <c r="I64" s="82" t="s">
        <v>1024</v>
      </c>
    </row>
    <row r="65" spans="2:9" x14ac:dyDescent="0.25">
      <c r="C65" s="80" t="s">
        <v>174</v>
      </c>
      <c r="D65" s="94">
        <f>IF(builder!$B$17=F65,G65,E65)</f>
        <v>2</v>
      </c>
      <c r="E65" s="81">
        <v>2</v>
      </c>
      <c r="F65" s="81" t="s">
        <v>211</v>
      </c>
      <c r="G65" s="81">
        <v>1</v>
      </c>
      <c r="H65" s="81"/>
      <c r="I65" s="82" t="s">
        <v>399</v>
      </c>
    </row>
    <row r="66" spans="2:9" x14ac:dyDescent="0.25">
      <c r="C66" s="221" t="s">
        <v>1344</v>
      </c>
      <c r="D66" s="81">
        <f>E66</f>
        <v>3</v>
      </c>
      <c r="E66" s="103">
        <v>3</v>
      </c>
      <c r="F66" s="81"/>
      <c r="G66" s="81"/>
      <c r="H66" s="81"/>
      <c r="I66" s="82" t="s">
        <v>1343</v>
      </c>
    </row>
    <row r="67" spans="2:9" x14ac:dyDescent="0.25">
      <c r="C67" s="80" t="s">
        <v>175</v>
      </c>
      <c r="D67" s="81">
        <f>E67</f>
        <v>4</v>
      </c>
      <c r="E67" s="81">
        <v>4</v>
      </c>
      <c r="F67" s="81"/>
      <c r="G67" s="81"/>
      <c r="H67" s="81"/>
      <c r="I67" s="82" t="s">
        <v>423</v>
      </c>
    </row>
    <row r="68" spans="2:9" x14ac:dyDescent="0.25">
      <c r="B68" s="37" t="s">
        <v>1773</v>
      </c>
      <c r="C68" s="202" t="s">
        <v>1131</v>
      </c>
      <c r="D68" s="81">
        <f>E68</f>
        <v>1</v>
      </c>
      <c r="E68" s="103">
        <v>1</v>
      </c>
      <c r="F68" s="81"/>
      <c r="G68" s="81"/>
      <c r="H68" s="81"/>
      <c r="I68" s="82" t="s">
        <v>1132</v>
      </c>
    </row>
    <row r="69" spans="2:9" x14ac:dyDescent="0.25">
      <c r="C69" s="80" t="s">
        <v>6</v>
      </c>
      <c r="D69" s="81">
        <f>E69</f>
        <v>1</v>
      </c>
      <c r="E69" s="81">
        <v>1</v>
      </c>
      <c r="F69" s="81"/>
      <c r="G69" s="81"/>
      <c r="H69" s="81"/>
      <c r="I69" s="82" t="s">
        <v>390</v>
      </c>
    </row>
    <row r="70" spans="2:9" x14ac:dyDescent="0.25">
      <c r="C70" s="80" t="s">
        <v>176</v>
      </c>
      <c r="D70" s="81">
        <f>E70</f>
        <v>4</v>
      </c>
      <c r="E70" s="81">
        <v>4</v>
      </c>
      <c r="F70" s="81"/>
      <c r="G70" s="81"/>
      <c r="H70" s="81">
        <v>1</v>
      </c>
      <c r="I70" s="82" t="s">
        <v>551</v>
      </c>
    </row>
    <row r="71" spans="2:9" x14ac:dyDescent="0.25">
      <c r="C71" s="80" t="s">
        <v>177</v>
      </c>
      <c r="D71" s="94">
        <f>IF(builder!$B$17=F71,G71,E71)</f>
        <v>2</v>
      </c>
      <c r="E71" s="81">
        <v>2</v>
      </c>
      <c r="F71" s="204" t="s">
        <v>1033</v>
      </c>
      <c r="G71" s="81">
        <v>1</v>
      </c>
      <c r="H71" s="81"/>
      <c r="I71" s="82" t="s">
        <v>400</v>
      </c>
    </row>
    <row r="72" spans="2:9" x14ac:dyDescent="0.25">
      <c r="C72" s="80" t="s">
        <v>178</v>
      </c>
      <c r="D72" s="94">
        <f>IF(builder!$B$17=F72,G72,E72)</f>
        <v>3</v>
      </c>
      <c r="E72" s="81">
        <v>3</v>
      </c>
      <c r="F72" s="81" t="s">
        <v>141</v>
      </c>
      <c r="G72" s="81">
        <v>2</v>
      </c>
      <c r="H72" s="81"/>
      <c r="I72" s="82" t="s">
        <v>1013</v>
      </c>
    </row>
    <row r="73" spans="2:9" x14ac:dyDescent="0.25">
      <c r="C73" s="80" t="s">
        <v>179</v>
      </c>
      <c r="D73" s="81">
        <f>E73</f>
        <v>4</v>
      </c>
      <c r="E73" s="103">
        <v>4</v>
      </c>
      <c r="F73" s="103"/>
      <c r="G73" s="103"/>
      <c r="H73" s="103"/>
      <c r="I73" s="125" t="s">
        <v>424</v>
      </c>
    </row>
    <row r="74" spans="2:9" x14ac:dyDescent="0.25">
      <c r="B74" s="37" t="s">
        <v>1772</v>
      </c>
      <c r="C74" s="247" t="s">
        <v>1673</v>
      </c>
      <c r="D74" s="81">
        <f>E74</f>
        <v>4</v>
      </c>
      <c r="E74" s="103">
        <v>4</v>
      </c>
      <c r="F74" s="103"/>
      <c r="G74" s="103"/>
      <c r="H74" s="103"/>
      <c r="I74" s="125" t="s">
        <v>1674</v>
      </c>
    </row>
    <row r="75" spans="2:9" x14ac:dyDescent="0.25">
      <c r="B75" s="37" t="s">
        <v>1773</v>
      </c>
      <c r="C75" s="202" t="s">
        <v>1155</v>
      </c>
      <c r="D75" s="94">
        <f>IF(builder!$B$17=F75,G75,E75)</f>
        <v>5</v>
      </c>
      <c r="E75" s="103">
        <v>5</v>
      </c>
      <c r="F75" s="204" t="s">
        <v>1033</v>
      </c>
      <c r="G75" s="81">
        <v>3</v>
      </c>
      <c r="H75" s="81"/>
      <c r="I75" s="82" t="s">
        <v>1156</v>
      </c>
    </row>
    <row r="76" spans="2:9" x14ac:dyDescent="0.25">
      <c r="B76" s="37" t="s">
        <v>1773</v>
      </c>
      <c r="C76" s="202" t="s">
        <v>1084</v>
      </c>
      <c r="D76" s="94">
        <f>IF(builder!$B$17=F76,G76,E76)</f>
        <v>3</v>
      </c>
      <c r="E76" s="103">
        <v>3</v>
      </c>
      <c r="F76" s="204" t="s">
        <v>1034</v>
      </c>
      <c r="G76" s="81">
        <v>2</v>
      </c>
      <c r="H76" s="81"/>
      <c r="I76" s="82" t="s">
        <v>1145</v>
      </c>
    </row>
    <row r="77" spans="2:9" x14ac:dyDescent="0.25">
      <c r="B77" s="37" t="s">
        <v>1772</v>
      </c>
      <c r="C77" s="247" t="s">
        <v>1658</v>
      </c>
      <c r="D77" s="81">
        <f>E77</f>
        <v>2</v>
      </c>
      <c r="E77" s="103">
        <v>2</v>
      </c>
      <c r="F77" s="103"/>
      <c r="G77" s="103"/>
      <c r="H77" s="103"/>
      <c r="I77" s="125" t="s">
        <v>1659</v>
      </c>
    </row>
    <row r="78" spans="2:9" x14ac:dyDescent="0.25">
      <c r="C78" s="80" t="s">
        <v>180</v>
      </c>
      <c r="D78" s="81">
        <f>E78</f>
        <v>3</v>
      </c>
      <c r="E78" s="81">
        <v>3</v>
      </c>
      <c r="F78" s="81"/>
      <c r="G78" s="81"/>
      <c r="H78" s="81"/>
      <c r="I78" s="82" t="s">
        <v>418</v>
      </c>
    </row>
    <row r="79" spans="2:9" x14ac:dyDescent="0.25">
      <c r="C79" s="80" t="s">
        <v>181</v>
      </c>
      <c r="D79" s="94">
        <f>IF(builder!$B$17=F79,G79,E79)</f>
        <v>3</v>
      </c>
      <c r="E79" s="81">
        <v>3</v>
      </c>
      <c r="F79" s="81" t="s">
        <v>208</v>
      </c>
      <c r="G79" s="81">
        <v>2</v>
      </c>
      <c r="H79" s="81"/>
      <c r="I79" s="82" t="s">
        <v>419</v>
      </c>
    </row>
    <row r="80" spans="2:9" x14ac:dyDescent="0.25">
      <c r="C80" s="80" t="s">
        <v>182</v>
      </c>
      <c r="D80" s="81">
        <f>E80</f>
        <v>3</v>
      </c>
      <c r="E80" s="81">
        <v>3</v>
      </c>
      <c r="F80" s="81"/>
      <c r="G80" s="81"/>
      <c r="H80" s="81"/>
      <c r="I80" s="82" t="s">
        <v>554</v>
      </c>
    </row>
    <row r="81" spans="2:9" x14ac:dyDescent="0.25">
      <c r="B81" s="37" t="s">
        <v>1772</v>
      </c>
      <c r="C81" s="247" t="s">
        <v>1648</v>
      </c>
      <c r="D81" s="103">
        <f>E81</f>
        <v>1</v>
      </c>
      <c r="E81" s="103">
        <v>1</v>
      </c>
      <c r="F81" s="103"/>
      <c r="G81" s="103"/>
      <c r="H81" s="103"/>
      <c r="I81" s="125" t="s">
        <v>1649</v>
      </c>
    </row>
    <row r="82" spans="2:9" x14ac:dyDescent="0.25">
      <c r="C82" s="80" t="s">
        <v>183</v>
      </c>
      <c r="D82" s="103">
        <f>E82</f>
        <v>2</v>
      </c>
      <c r="E82" s="103">
        <v>2</v>
      </c>
      <c r="F82" s="103"/>
      <c r="G82" s="103"/>
      <c r="H82" s="103"/>
      <c r="I82" s="125" t="s">
        <v>401</v>
      </c>
    </row>
    <row r="83" spans="2:9" x14ac:dyDescent="0.25">
      <c r="B83" s="37" t="s">
        <v>1772</v>
      </c>
      <c r="C83" s="247" t="s">
        <v>1650</v>
      </c>
      <c r="D83" s="103">
        <f>E83</f>
        <v>1</v>
      </c>
      <c r="E83" s="103">
        <v>1</v>
      </c>
      <c r="F83" s="103"/>
      <c r="G83" s="103"/>
      <c r="H83" s="103"/>
      <c r="I83" s="125" t="s">
        <v>1651</v>
      </c>
    </row>
    <row r="84" spans="2:9" x14ac:dyDescent="0.25">
      <c r="C84" s="80" t="s">
        <v>184</v>
      </c>
      <c r="D84" s="94">
        <f>IF(builder!$B$17=F84,G84,E84)</f>
        <v>2</v>
      </c>
      <c r="E84" s="81">
        <v>2</v>
      </c>
      <c r="F84" s="81" t="s">
        <v>142</v>
      </c>
      <c r="G84" s="81">
        <v>1</v>
      </c>
      <c r="H84" s="81"/>
      <c r="I84" s="82" t="s">
        <v>555</v>
      </c>
    </row>
    <row r="85" spans="2:9" x14ac:dyDescent="0.25">
      <c r="B85" s="37" t="s">
        <v>1773</v>
      </c>
      <c r="C85" s="202" t="s">
        <v>1146</v>
      </c>
      <c r="D85" s="81">
        <f t="shared" ref="D85:D96" si="4">E85</f>
        <v>3</v>
      </c>
      <c r="E85" s="103">
        <v>3</v>
      </c>
      <c r="F85" s="81"/>
      <c r="G85" s="81"/>
      <c r="H85" s="81"/>
      <c r="I85" s="82" t="s">
        <v>1147</v>
      </c>
    </row>
    <row r="86" spans="2:9" x14ac:dyDescent="0.25">
      <c r="C86" s="80" t="s">
        <v>185</v>
      </c>
      <c r="D86" s="81">
        <f t="shared" si="4"/>
        <v>2</v>
      </c>
      <c r="E86" s="81">
        <v>2</v>
      </c>
      <c r="F86" s="81"/>
      <c r="G86" s="81"/>
      <c r="H86" s="81"/>
      <c r="I86" s="82" t="s">
        <v>402</v>
      </c>
    </row>
    <row r="87" spans="2:9" x14ac:dyDescent="0.25">
      <c r="C87" s="80" t="s">
        <v>186</v>
      </c>
      <c r="D87" s="81">
        <f t="shared" si="4"/>
        <v>3</v>
      </c>
      <c r="E87" s="81">
        <v>3</v>
      </c>
      <c r="F87" s="81"/>
      <c r="G87" s="81"/>
      <c r="H87" s="81"/>
      <c r="I87" s="82" t="s">
        <v>556</v>
      </c>
    </row>
    <row r="88" spans="2:9" x14ac:dyDescent="0.25">
      <c r="C88" s="80" t="s">
        <v>187</v>
      </c>
      <c r="D88" s="81">
        <f t="shared" si="4"/>
        <v>2</v>
      </c>
      <c r="E88" s="81">
        <v>2</v>
      </c>
      <c r="F88" s="81"/>
      <c r="G88" s="81"/>
      <c r="H88" s="81"/>
      <c r="I88" s="82" t="s">
        <v>403</v>
      </c>
    </row>
    <row r="89" spans="2:9" x14ac:dyDescent="0.25">
      <c r="C89" s="80" t="s">
        <v>133</v>
      </c>
      <c r="D89" s="81">
        <f t="shared" si="4"/>
        <v>2</v>
      </c>
      <c r="E89" s="81">
        <v>2</v>
      </c>
      <c r="F89" s="81"/>
      <c r="G89" s="81"/>
      <c r="H89" s="81"/>
      <c r="I89" s="82" t="s">
        <v>404</v>
      </c>
    </row>
    <row r="90" spans="2:9" x14ac:dyDescent="0.25">
      <c r="C90" s="80" t="s">
        <v>188</v>
      </c>
      <c r="D90" s="81">
        <f t="shared" si="4"/>
        <v>3</v>
      </c>
      <c r="E90" s="81">
        <v>3</v>
      </c>
      <c r="F90" s="81"/>
      <c r="G90" s="81"/>
      <c r="H90" s="81"/>
      <c r="I90" s="82" t="s">
        <v>420</v>
      </c>
    </row>
    <row r="91" spans="2:9" x14ac:dyDescent="0.25">
      <c r="C91" s="80" t="s">
        <v>189</v>
      </c>
      <c r="D91" s="81">
        <f t="shared" si="4"/>
        <v>4</v>
      </c>
      <c r="E91" s="81">
        <v>4</v>
      </c>
      <c r="F91" s="81"/>
      <c r="G91" s="81"/>
      <c r="H91" s="81"/>
      <c r="I91" s="82" t="s">
        <v>425</v>
      </c>
    </row>
    <row r="92" spans="2:9" x14ac:dyDescent="0.25">
      <c r="B92" s="37" t="s">
        <v>1773</v>
      </c>
      <c r="C92" s="202" t="s">
        <v>1042</v>
      </c>
      <c r="D92" s="81">
        <f t="shared" si="4"/>
        <v>4</v>
      </c>
      <c r="E92" s="103">
        <v>4</v>
      </c>
      <c r="F92" s="81"/>
      <c r="G92" s="81"/>
      <c r="H92" s="81">
        <v>1</v>
      </c>
      <c r="I92" s="82" t="s">
        <v>1150</v>
      </c>
    </row>
    <row r="93" spans="2:9" x14ac:dyDescent="0.25">
      <c r="C93" s="221" t="s">
        <v>1346</v>
      </c>
      <c r="D93" s="81">
        <f t="shared" si="4"/>
        <v>4</v>
      </c>
      <c r="E93" s="103">
        <v>4</v>
      </c>
      <c r="F93" s="81"/>
      <c r="G93" s="81"/>
      <c r="H93" s="81"/>
      <c r="I93" s="225" t="s">
        <v>1347</v>
      </c>
    </row>
    <row r="94" spans="2:9" x14ac:dyDescent="0.25">
      <c r="B94" s="37" t="s">
        <v>1772</v>
      </c>
      <c r="C94" s="247" t="s">
        <v>1573</v>
      </c>
      <c r="D94" s="103">
        <f>E94</f>
        <v>3</v>
      </c>
      <c r="E94" s="103">
        <v>3</v>
      </c>
      <c r="F94" s="103"/>
      <c r="G94" s="103"/>
      <c r="H94" s="103"/>
      <c r="I94" s="125" t="s">
        <v>1574</v>
      </c>
    </row>
    <row r="95" spans="2:9" x14ac:dyDescent="0.25">
      <c r="C95" s="80" t="s">
        <v>7</v>
      </c>
      <c r="D95" s="81">
        <f t="shared" si="4"/>
        <v>1</v>
      </c>
      <c r="E95" s="81">
        <v>1</v>
      </c>
      <c r="F95" s="81"/>
      <c r="G95" s="81"/>
      <c r="H95" s="81"/>
      <c r="I95" s="82" t="s">
        <v>557</v>
      </c>
    </row>
    <row r="96" spans="2:9" x14ac:dyDescent="0.25">
      <c r="C96" s="80" t="s">
        <v>190</v>
      </c>
      <c r="D96" s="81">
        <f t="shared" si="4"/>
        <v>2</v>
      </c>
      <c r="E96" s="81">
        <v>2</v>
      </c>
      <c r="F96" s="81"/>
      <c r="G96" s="81"/>
      <c r="H96" s="81"/>
      <c r="I96" s="82" t="s">
        <v>558</v>
      </c>
    </row>
    <row r="97" spans="2:11" x14ac:dyDescent="0.25">
      <c r="B97" s="37" t="s">
        <v>1773</v>
      </c>
      <c r="C97" s="202" t="s">
        <v>1122</v>
      </c>
      <c r="D97" s="88" t="str">
        <f>IF(builder!$B$17=F97,E97,"NO")</f>
        <v>NO</v>
      </c>
      <c r="E97" s="81">
        <v>4</v>
      </c>
      <c r="F97" s="204" t="s">
        <v>1037</v>
      </c>
      <c r="G97" s="81" t="s">
        <v>17</v>
      </c>
      <c r="H97" s="81"/>
      <c r="I97" s="82" t="s">
        <v>1152</v>
      </c>
    </row>
    <row r="98" spans="2:11" x14ac:dyDescent="0.25">
      <c r="C98" s="80" t="s">
        <v>292</v>
      </c>
      <c r="D98" s="88" t="str">
        <f>IF(builder!$B$17=F98,E98,"NO")</f>
        <v>NO</v>
      </c>
      <c r="E98" s="81">
        <v>4</v>
      </c>
      <c r="F98" s="81" t="s">
        <v>141</v>
      </c>
      <c r="G98" s="81" t="s">
        <v>17</v>
      </c>
      <c r="H98" s="81"/>
      <c r="I98" s="82" t="s">
        <v>569</v>
      </c>
    </row>
    <row r="99" spans="2:11" x14ac:dyDescent="0.25">
      <c r="B99" s="37" t="s">
        <v>1773</v>
      </c>
      <c r="C99" s="202" t="s">
        <v>1107</v>
      </c>
      <c r="D99" s="81">
        <f t="shared" ref="D99:D104" si="5">E99</f>
        <v>5</v>
      </c>
      <c r="E99" s="103">
        <v>5</v>
      </c>
      <c r="F99" s="204" t="s">
        <v>1036</v>
      </c>
      <c r="G99" s="81">
        <v>3</v>
      </c>
      <c r="H99" s="81"/>
      <c r="I99" s="206" t="e">
        <f>CONCATENATE("Choose a second Virtue for your Hero. Your Hero can still only activate one Virtue per game session.  
Selected Virtue = ",builder!I107,": ",VLOOKUP(builder!I107,builder!$S$26:$U$48,3))</f>
        <v>#N/A</v>
      </c>
    </row>
    <row r="100" spans="2:11" x14ac:dyDescent="0.25">
      <c r="C100" s="80" t="s">
        <v>191</v>
      </c>
      <c r="D100" s="81">
        <f t="shared" si="5"/>
        <v>3</v>
      </c>
      <c r="E100" s="81">
        <v>3</v>
      </c>
      <c r="F100" s="81"/>
      <c r="G100" s="81"/>
      <c r="H100" s="81"/>
      <c r="I100" s="82" t="s">
        <v>432</v>
      </c>
    </row>
    <row r="101" spans="2:11" x14ac:dyDescent="0.25">
      <c r="C101" s="80" t="s">
        <v>192</v>
      </c>
      <c r="D101" s="81">
        <f t="shared" si="5"/>
        <v>2</v>
      </c>
      <c r="E101" s="81">
        <v>2</v>
      </c>
      <c r="F101" s="81"/>
      <c r="G101" s="81"/>
      <c r="H101" s="81"/>
      <c r="I101" s="82" t="s">
        <v>405</v>
      </c>
    </row>
    <row r="102" spans="2:11" x14ac:dyDescent="0.25">
      <c r="C102" s="80" t="s">
        <v>8</v>
      </c>
      <c r="D102" s="81">
        <f t="shared" si="5"/>
        <v>1</v>
      </c>
      <c r="E102" s="81">
        <v>1</v>
      </c>
      <c r="F102" s="81"/>
      <c r="G102" s="81"/>
      <c r="H102" s="81">
        <v>1</v>
      </c>
      <c r="I102" s="82" t="s">
        <v>1023</v>
      </c>
      <c r="J102" s="241"/>
    </row>
    <row r="103" spans="2:11" x14ac:dyDescent="0.25">
      <c r="C103" s="80" t="s">
        <v>193</v>
      </c>
      <c r="D103" s="81">
        <f t="shared" si="5"/>
        <v>3</v>
      </c>
      <c r="E103" s="81">
        <v>3</v>
      </c>
      <c r="F103" s="81"/>
      <c r="G103" s="81"/>
      <c r="H103" s="81"/>
      <c r="I103" s="82" t="s">
        <v>559</v>
      </c>
    </row>
    <row r="104" spans="2:11" x14ac:dyDescent="0.25">
      <c r="C104" s="80" t="s">
        <v>194</v>
      </c>
      <c r="D104" s="81">
        <f t="shared" si="5"/>
        <v>2</v>
      </c>
      <c r="E104" s="103">
        <v>2</v>
      </c>
      <c r="F104" s="103"/>
      <c r="G104" s="103"/>
      <c r="H104" s="103"/>
      <c r="I104" s="125" t="s">
        <v>406</v>
      </c>
      <c r="J104" s="268"/>
      <c r="K104" s="268"/>
    </row>
    <row r="105" spans="2:11" x14ac:dyDescent="0.25">
      <c r="B105" s="37" t="s">
        <v>1772</v>
      </c>
      <c r="C105" s="247" t="s">
        <v>1740</v>
      </c>
      <c r="D105" s="88" t="str">
        <f>IF(builder!$B$17=F105,E105,"NO")</f>
        <v>NO</v>
      </c>
      <c r="E105" s="103">
        <v>1</v>
      </c>
      <c r="F105" s="103" t="s">
        <v>142</v>
      </c>
      <c r="G105" s="103" t="s">
        <v>17</v>
      </c>
      <c r="H105" s="103"/>
      <c r="I105" s="125" t="s">
        <v>1741</v>
      </c>
      <c r="J105" s="268"/>
      <c r="K105" s="268"/>
    </row>
    <row r="106" spans="2:11" x14ac:dyDescent="0.25">
      <c r="C106" s="80" t="s">
        <v>195</v>
      </c>
      <c r="D106" s="94">
        <f>IF(builder!$B$17=F106,G106,E106)</f>
        <v>5</v>
      </c>
      <c r="E106" s="103">
        <v>5</v>
      </c>
      <c r="F106" s="103" t="s">
        <v>208</v>
      </c>
      <c r="G106" s="103">
        <v>3</v>
      </c>
      <c r="H106" s="103"/>
      <c r="I106" s="125" t="s">
        <v>560</v>
      </c>
      <c r="J106" s="268"/>
      <c r="K106" s="268"/>
    </row>
    <row r="107" spans="2:11" x14ac:dyDescent="0.25">
      <c r="C107" s="80" t="s">
        <v>196</v>
      </c>
      <c r="D107" s="81">
        <f>E107</f>
        <v>4</v>
      </c>
      <c r="E107" s="103">
        <v>4</v>
      </c>
      <c r="F107" s="103"/>
      <c r="G107" s="103"/>
      <c r="H107" s="103"/>
      <c r="I107" s="125" t="s">
        <v>426</v>
      </c>
      <c r="J107" s="268"/>
      <c r="K107" s="268"/>
    </row>
    <row r="108" spans="2:11" x14ac:dyDescent="0.25">
      <c r="B108" s="37" t="s">
        <v>1773</v>
      </c>
      <c r="C108" s="202" t="s">
        <v>1095</v>
      </c>
      <c r="D108" s="81">
        <f>E108</f>
        <v>2</v>
      </c>
      <c r="E108" s="103">
        <v>2</v>
      </c>
      <c r="F108" s="103"/>
      <c r="G108" s="103"/>
      <c r="H108" s="103"/>
      <c r="I108" s="125" t="s">
        <v>1139</v>
      </c>
      <c r="J108" s="268"/>
      <c r="K108" s="268"/>
    </row>
    <row r="109" spans="2:11" x14ac:dyDescent="0.25">
      <c r="C109" s="80" t="s">
        <v>197</v>
      </c>
      <c r="D109" s="94">
        <f>IF(builder!$B$17=F109,G109,E109)</f>
        <v>2</v>
      </c>
      <c r="E109" s="103">
        <v>2</v>
      </c>
      <c r="F109" s="103" t="s">
        <v>136</v>
      </c>
      <c r="G109" s="103">
        <v>1</v>
      </c>
      <c r="H109" s="103"/>
      <c r="I109" s="125" t="s">
        <v>407</v>
      </c>
      <c r="J109" s="268"/>
      <c r="K109" s="268"/>
    </row>
    <row r="110" spans="2:11" x14ac:dyDescent="0.25">
      <c r="C110" s="80" t="s">
        <v>198</v>
      </c>
      <c r="D110" s="81">
        <f>E110</f>
        <v>2</v>
      </c>
      <c r="E110" s="103">
        <v>2</v>
      </c>
      <c r="F110" s="103"/>
      <c r="G110" s="103"/>
      <c r="H110" s="103"/>
      <c r="I110" s="125" t="s">
        <v>1014</v>
      </c>
      <c r="J110" s="268"/>
      <c r="K110" s="268"/>
    </row>
    <row r="111" spans="2:11" x14ac:dyDescent="0.25">
      <c r="C111" s="80" t="s">
        <v>199</v>
      </c>
      <c r="D111" s="94">
        <f>IF(builder!$B$17=F111,G111,E111)</f>
        <v>5</v>
      </c>
      <c r="E111" s="81">
        <v>5</v>
      </c>
      <c r="F111" s="81" t="s">
        <v>212</v>
      </c>
      <c r="G111" s="81">
        <v>3</v>
      </c>
      <c r="H111" s="81"/>
      <c r="I111" s="82" t="s">
        <v>430</v>
      </c>
    </row>
    <row r="112" spans="2:11" x14ac:dyDescent="0.25">
      <c r="C112" s="221" t="s">
        <v>1345</v>
      </c>
      <c r="D112" s="81">
        <f t="shared" ref="D112:D117" si="6">E112</f>
        <v>3</v>
      </c>
      <c r="E112" s="103">
        <v>3</v>
      </c>
      <c r="F112" s="81"/>
      <c r="G112" s="81"/>
      <c r="H112" s="81"/>
      <c r="I112" s="82" t="s">
        <v>1348</v>
      </c>
    </row>
    <row r="113" spans="2:9" x14ac:dyDescent="0.25">
      <c r="C113" s="80" t="s">
        <v>9</v>
      </c>
      <c r="D113" s="81">
        <f t="shared" si="6"/>
        <v>1</v>
      </c>
      <c r="E113" s="81">
        <v>1</v>
      </c>
      <c r="F113" s="81"/>
      <c r="G113" s="81"/>
      <c r="H113" s="81"/>
      <c r="I113" s="82" t="s">
        <v>1015</v>
      </c>
    </row>
    <row r="114" spans="2:9" x14ac:dyDescent="0.25">
      <c r="B114" s="37" t="s">
        <v>1772</v>
      </c>
      <c r="C114" s="247" t="s">
        <v>1080</v>
      </c>
      <c r="D114" s="103">
        <f t="shared" si="6"/>
        <v>3</v>
      </c>
      <c r="E114" s="103">
        <v>3</v>
      </c>
      <c r="F114" s="103"/>
      <c r="G114" s="103"/>
      <c r="H114" s="103"/>
      <c r="I114" s="125" t="s">
        <v>1575</v>
      </c>
    </row>
    <row r="115" spans="2:9" x14ac:dyDescent="0.25">
      <c r="B115" s="37" t="s">
        <v>1773</v>
      </c>
      <c r="C115" s="202" t="s">
        <v>1140</v>
      </c>
      <c r="D115" s="81">
        <f t="shared" si="6"/>
        <v>2</v>
      </c>
      <c r="E115" s="103">
        <v>2</v>
      </c>
      <c r="F115" s="81"/>
      <c r="G115" s="81"/>
      <c r="H115" s="81"/>
      <c r="I115" s="82" t="s">
        <v>1141</v>
      </c>
    </row>
    <row r="116" spans="2:9" x14ac:dyDescent="0.25">
      <c r="C116" s="80" t="s">
        <v>200</v>
      </c>
      <c r="D116" s="81">
        <f t="shared" si="6"/>
        <v>2</v>
      </c>
      <c r="E116" s="81">
        <v>2</v>
      </c>
      <c r="F116" s="81"/>
      <c r="G116" s="81"/>
      <c r="H116" s="81"/>
      <c r="I116" s="82" t="s">
        <v>408</v>
      </c>
    </row>
    <row r="117" spans="2:9" x14ac:dyDescent="0.25">
      <c r="C117" s="80" t="s">
        <v>201</v>
      </c>
      <c r="D117" s="81">
        <f t="shared" si="6"/>
        <v>3</v>
      </c>
      <c r="E117" s="81">
        <v>3</v>
      </c>
      <c r="F117" s="81"/>
      <c r="G117" s="81"/>
      <c r="H117" s="81"/>
      <c r="I117" s="82" t="s">
        <v>421</v>
      </c>
    </row>
    <row r="118" spans="2:9" x14ac:dyDescent="0.25">
      <c r="B118" s="37" t="s">
        <v>1773</v>
      </c>
      <c r="C118" s="202" t="s">
        <v>1069</v>
      </c>
      <c r="D118" s="94">
        <f>IF(builder!$B$17=F118,G118,E118)</f>
        <v>4</v>
      </c>
      <c r="E118" s="103">
        <v>4</v>
      </c>
      <c r="F118" s="204" t="s">
        <v>1033</v>
      </c>
      <c r="G118" s="81">
        <v>2</v>
      </c>
      <c r="H118" s="81"/>
      <c r="I118" s="82" t="s">
        <v>1151</v>
      </c>
    </row>
    <row r="119" spans="2:9" x14ac:dyDescent="0.25">
      <c r="C119" s="80" t="s">
        <v>300</v>
      </c>
      <c r="D119" s="89">
        <f>IF(builder!$T$55=1,G119,E119)</f>
        <v>5</v>
      </c>
      <c r="E119" s="81">
        <v>5</v>
      </c>
      <c r="F119" s="81" t="s">
        <v>16</v>
      </c>
      <c r="G119" s="81">
        <v>3</v>
      </c>
      <c r="H119" s="81"/>
      <c r="I119" s="82" t="s">
        <v>562</v>
      </c>
    </row>
    <row r="120" spans="2:9" x14ac:dyDescent="0.25">
      <c r="B120" s="37" t="s">
        <v>1773</v>
      </c>
      <c r="C120" s="202" t="s">
        <v>1114</v>
      </c>
      <c r="D120" s="81">
        <f>E120</f>
        <v>3</v>
      </c>
      <c r="E120" s="103">
        <v>3</v>
      </c>
      <c r="F120" s="81"/>
      <c r="G120" s="81"/>
      <c r="H120" s="81"/>
      <c r="I120" s="82" t="s">
        <v>1148</v>
      </c>
    </row>
    <row r="121" spans="2:9" x14ac:dyDescent="0.25">
      <c r="B121" s="37" t="s">
        <v>1772</v>
      </c>
      <c r="C121" s="247" t="s">
        <v>1578</v>
      </c>
      <c r="D121" s="103">
        <f>E121</f>
        <v>2</v>
      </c>
      <c r="E121" s="103">
        <v>2</v>
      </c>
      <c r="F121" s="103"/>
      <c r="G121" s="103"/>
      <c r="H121" s="103"/>
      <c r="I121" s="125" t="s">
        <v>1579</v>
      </c>
    </row>
    <row r="122" spans="2:9" x14ac:dyDescent="0.25">
      <c r="C122" s="80" t="s">
        <v>10</v>
      </c>
      <c r="D122" s="81">
        <f>E122</f>
        <v>1</v>
      </c>
      <c r="E122" s="81">
        <v>1</v>
      </c>
      <c r="F122" s="81"/>
      <c r="G122" s="81"/>
      <c r="H122" s="81"/>
      <c r="I122" s="82" t="s">
        <v>391</v>
      </c>
    </row>
    <row r="123" spans="2:9" x14ac:dyDescent="0.25">
      <c r="C123" s="80" t="s">
        <v>202</v>
      </c>
      <c r="D123" s="94">
        <f>IF(builder!$B$17=F123,G123,E123)</f>
        <v>5</v>
      </c>
      <c r="E123" s="81">
        <v>5</v>
      </c>
      <c r="F123" s="81" t="s">
        <v>211</v>
      </c>
      <c r="G123" s="81">
        <v>3</v>
      </c>
      <c r="H123" s="81"/>
      <c r="I123" s="82" t="s">
        <v>431</v>
      </c>
    </row>
    <row r="124" spans="2:9" x14ac:dyDescent="0.25">
      <c r="B124" s="37" t="s">
        <v>1772</v>
      </c>
      <c r="C124" s="247" t="s">
        <v>1588</v>
      </c>
      <c r="D124" s="103">
        <f t="shared" ref="D124" si="7">E124</f>
        <v>1</v>
      </c>
      <c r="E124" s="103">
        <v>1</v>
      </c>
      <c r="F124" s="103"/>
      <c r="G124" s="103"/>
      <c r="H124" s="103"/>
      <c r="I124" s="125" t="s">
        <v>1589</v>
      </c>
    </row>
    <row r="125" spans="2:9" x14ac:dyDescent="0.25">
      <c r="C125" s="80" t="s">
        <v>203</v>
      </c>
      <c r="D125" s="103">
        <f>E125</f>
        <v>4</v>
      </c>
      <c r="E125" s="103">
        <v>4</v>
      </c>
      <c r="F125" s="103"/>
      <c r="G125" s="103"/>
      <c r="H125" s="103"/>
      <c r="I125" s="125" t="s">
        <v>1018</v>
      </c>
    </row>
    <row r="126" spans="2:9" x14ac:dyDescent="0.25">
      <c r="B126" s="37" t="s">
        <v>1772</v>
      </c>
      <c r="C126" s="247" t="s">
        <v>36</v>
      </c>
      <c r="D126" s="103">
        <f>E126</f>
        <v>3</v>
      </c>
      <c r="E126" s="103">
        <v>3</v>
      </c>
      <c r="F126" s="103"/>
      <c r="G126" s="103"/>
      <c r="H126" s="103"/>
      <c r="I126" s="125" t="s">
        <v>1670</v>
      </c>
    </row>
    <row r="127" spans="2:9" x14ac:dyDescent="0.25">
      <c r="C127" s="80" t="s">
        <v>204</v>
      </c>
      <c r="D127" s="103">
        <f>E127</f>
        <v>4</v>
      </c>
      <c r="E127" s="103">
        <v>4</v>
      </c>
      <c r="F127" s="103"/>
      <c r="G127" s="103"/>
      <c r="H127" s="103">
        <v>1</v>
      </c>
      <c r="I127" s="125" t="s">
        <v>1016</v>
      </c>
    </row>
    <row r="128" spans="2:9" x14ac:dyDescent="0.25">
      <c r="C128" s="80" t="s">
        <v>205</v>
      </c>
      <c r="D128" s="81">
        <f>E128</f>
        <v>2</v>
      </c>
      <c r="E128" s="81">
        <v>2</v>
      </c>
      <c r="F128" s="81"/>
      <c r="G128" s="81"/>
      <c r="H128" s="81"/>
      <c r="I128" s="82" t="s">
        <v>409</v>
      </c>
    </row>
    <row r="129" spans="2:9" x14ac:dyDescent="0.25">
      <c r="C129" s="80" t="s">
        <v>206</v>
      </c>
      <c r="D129" s="81">
        <f>E129</f>
        <v>3</v>
      </c>
      <c r="E129" s="81">
        <v>3</v>
      </c>
      <c r="F129" s="81"/>
      <c r="G129" s="81"/>
      <c r="H129" s="81"/>
      <c r="I129" s="82" t="s">
        <v>565</v>
      </c>
    </row>
    <row r="130" spans="2:9" x14ac:dyDescent="0.25">
      <c r="C130" s="80" t="s">
        <v>301</v>
      </c>
      <c r="D130" s="94">
        <f>IF(builder!$B$17=F130,G130,E130)</f>
        <v>5</v>
      </c>
      <c r="E130" s="103">
        <v>5</v>
      </c>
      <c r="F130" s="81" t="s">
        <v>142</v>
      </c>
      <c r="G130" s="81">
        <v>3</v>
      </c>
      <c r="H130" s="81"/>
      <c r="I130" s="82" t="s">
        <v>566</v>
      </c>
    </row>
    <row r="131" spans="2:9" x14ac:dyDescent="0.25">
      <c r="B131" s="37" t="s">
        <v>1773</v>
      </c>
      <c r="C131" s="202" t="s">
        <v>1076</v>
      </c>
      <c r="D131" s="94">
        <f>IF(builder!$B$17=F131,G131,E131)</f>
        <v>5</v>
      </c>
      <c r="E131" s="103">
        <v>5</v>
      </c>
      <c r="F131" s="204" t="s">
        <v>1034</v>
      </c>
      <c r="G131" s="81">
        <v>3</v>
      </c>
      <c r="H131" s="81"/>
      <c r="I131" s="82" t="s">
        <v>1158</v>
      </c>
    </row>
    <row r="132" spans="2:9" x14ac:dyDescent="0.25">
      <c r="B132" s="37" t="s">
        <v>1773</v>
      </c>
      <c r="C132" s="202" t="s">
        <v>1052</v>
      </c>
      <c r="D132" s="81">
        <f>E132</f>
        <v>3</v>
      </c>
      <c r="E132" s="81">
        <v>3</v>
      </c>
      <c r="F132" s="81"/>
      <c r="G132" s="81"/>
      <c r="H132" s="81"/>
      <c r="I132" s="82" t="s">
        <v>1149</v>
      </c>
    </row>
    <row r="133" spans="2:9" x14ac:dyDescent="0.25">
      <c r="B133" s="37" t="s">
        <v>1772</v>
      </c>
      <c r="C133" s="247" t="s">
        <v>1590</v>
      </c>
      <c r="D133" s="103">
        <f t="shared" ref="D133:D135" si="8">E133</f>
        <v>1</v>
      </c>
      <c r="E133" s="103">
        <v>1</v>
      </c>
      <c r="F133" s="103"/>
      <c r="G133" s="103"/>
      <c r="H133" s="103"/>
      <c r="I133" s="125" t="s">
        <v>1591</v>
      </c>
    </row>
    <row r="134" spans="2:9" x14ac:dyDescent="0.25">
      <c r="B134" s="37" t="s">
        <v>1773</v>
      </c>
      <c r="C134" s="202" t="s">
        <v>1100</v>
      </c>
      <c r="D134" s="88" t="str">
        <f>IF(builder!$B$17=F134,E134,"NO")</f>
        <v>NO</v>
      </c>
      <c r="E134" s="81">
        <v>4</v>
      </c>
      <c r="F134" s="204" t="s">
        <v>1035</v>
      </c>
      <c r="G134" s="81" t="s">
        <v>17</v>
      </c>
      <c r="H134" s="81"/>
      <c r="I134" s="82" t="s">
        <v>1153</v>
      </c>
    </row>
    <row r="135" spans="2:9" x14ac:dyDescent="0.25">
      <c r="B135" s="37" t="s">
        <v>1772</v>
      </c>
      <c r="C135" s="250" t="s">
        <v>1660</v>
      </c>
      <c r="D135" s="269">
        <f t="shared" si="8"/>
        <v>2</v>
      </c>
      <c r="E135" s="269">
        <v>2</v>
      </c>
      <c r="F135" s="269"/>
      <c r="G135" s="269"/>
      <c r="H135" s="269"/>
      <c r="I135" s="270" t="s">
        <v>1661</v>
      </c>
    </row>
    <row r="136" spans="2:9" x14ac:dyDescent="0.25">
      <c r="C136" s="68"/>
      <c r="D136" s="68"/>
      <c r="E136" s="68"/>
      <c r="F136" s="68"/>
      <c r="G136" s="68"/>
      <c r="H136" s="68"/>
      <c r="I136" s="68"/>
    </row>
    <row r="137" spans="2:9" x14ac:dyDescent="0.25">
      <c r="C137" s="80" t="s">
        <v>292</v>
      </c>
      <c r="D137" s="68">
        <f>COUNTIF(builder!N67:O74,C137)+COUNTIF(builder!B60:C74,C137)</f>
        <v>0</v>
      </c>
      <c r="E137" s="68"/>
      <c r="F137" s="82" t="s">
        <v>568</v>
      </c>
      <c r="G137" s="68"/>
      <c r="H137" s="68"/>
      <c r="I137" s="68"/>
    </row>
    <row r="138" spans="2:9" x14ac:dyDescent="0.25">
      <c r="C138" t="s">
        <v>1899</v>
      </c>
      <c r="D138" s="68">
        <f>COUNTIF(builder!N67:O74,C28)+COUNTIF(builder!B60:C74,C28)</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3"/>
  <sheetViews>
    <sheetView topLeftCell="A9" workbookViewId="0">
      <selection activeCell="T34" sqref="T34"/>
    </sheetView>
    <sheetView topLeftCell="A16" workbookViewId="1">
      <selection activeCell="V20" sqref="V20"/>
    </sheetView>
    <sheetView tabSelected="1" topLeftCell="A28" workbookViewId="2"/>
  </sheetViews>
  <sheetFormatPr defaultRowHeight="15" x14ac:dyDescent="0.2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x14ac:dyDescent="0.25">
      <c r="B2" t="s">
        <v>368</v>
      </c>
      <c r="C2" s="318">
        <f>builder!C2</f>
        <v>0</v>
      </c>
      <c r="D2" s="318"/>
      <c r="E2" s="318"/>
      <c r="F2" s="318"/>
      <c r="G2" s="318"/>
      <c r="H2" s="318"/>
      <c r="I2" s="318"/>
      <c r="J2" s="318"/>
      <c r="K2" s="318"/>
      <c r="L2" s="318"/>
      <c r="M2" s="318"/>
      <c r="N2" s="318"/>
      <c r="O2" s="318"/>
      <c r="P2" s="318"/>
      <c r="Q2" s="318"/>
      <c r="R2" s="318"/>
      <c r="S2" s="318"/>
    </row>
    <row r="3" spans="2:24" x14ac:dyDescent="0.25">
      <c r="B3" t="s">
        <v>369</v>
      </c>
      <c r="C3" s="318">
        <f>builder!C4</f>
        <v>0</v>
      </c>
      <c r="D3" s="318"/>
      <c r="E3" s="318"/>
      <c r="F3" s="318"/>
      <c r="G3" s="318"/>
      <c r="H3" s="318"/>
      <c r="I3" s="318"/>
      <c r="J3" s="318"/>
      <c r="K3" s="318"/>
      <c r="L3" s="318"/>
      <c r="M3" s="318"/>
      <c r="N3" s="318"/>
      <c r="O3" s="318"/>
      <c r="P3" s="318"/>
      <c r="Q3" s="318"/>
      <c r="R3" s="318"/>
      <c r="S3" s="318"/>
    </row>
    <row r="4" spans="2:24" x14ac:dyDescent="0.25">
      <c r="B4" t="s">
        <v>370</v>
      </c>
      <c r="C4" s="318">
        <f>builder!C6</f>
        <v>0</v>
      </c>
      <c r="D4" s="318"/>
      <c r="E4" s="318"/>
      <c r="F4" s="318"/>
      <c r="G4" s="318"/>
      <c r="H4" s="318"/>
      <c r="I4" s="318"/>
      <c r="J4" s="318"/>
      <c r="K4" s="318"/>
      <c r="L4" s="318"/>
      <c r="M4" s="318"/>
      <c r="N4" s="318"/>
      <c r="O4" s="318"/>
      <c r="P4" s="318"/>
      <c r="Q4" s="318"/>
      <c r="R4" s="318"/>
      <c r="S4" s="318"/>
    </row>
    <row r="5" spans="2:24" x14ac:dyDescent="0.25">
      <c r="B5" t="s">
        <v>371</v>
      </c>
      <c r="C5" s="27">
        <f>builder!B17</f>
        <v>0</v>
      </c>
      <c r="F5" s="333" t="s">
        <v>88</v>
      </c>
      <c r="G5" s="334"/>
      <c r="H5" s="334"/>
      <c r="I5" s="334"/>
      <c r="J5" s="334"/>
      <c r="K5" s="334"/>
      <c r="L5" s="334"/>
      <c r="M5" s="334"/>
      <c r="N5" s="334"/>
      <c r="O5" s="335"/>
      <c r="R5" t="str">
        <f>builder!J3</f>
        <v>Hero</v>
      </c>
      <c r="W5" s="61"/>
      <c r="X5" s="61"/>
    </row>
    <row r="6" spans="2:24" x14ac:dyDescent="0.25">
      <c r="B6" t="s">
        <v>372</v>
      </c>
      <c r="C6" s="27">
        <f>builder!F89</f>
        <v>0</v>
      </c>
      <c r="F6" s="340" t="str">
        <f>IF(builder!B92&lt;&gt;"--",builder!B92,"")</f>
        <v>Old Thean</v>
      </c>
      <c r="G6" s="339"/>
      <c r="H6" s="339"/>
      <c r="I6" s="339"/>
      <c r="J6" s="339"/>
      <c r="K6" s="339"/>
      <c r="L6" s="339"/>
      <c r="M6" s="339"/>
      <c r="N6" s="346" t="str">
        <f>IF(builder!B94&lt;&gt;"",builder!B94,"")</f>
        <v/>
      </c>
      <c r="O6" s="347"/>
    </row>
    <row r="7" spans="2:24" x14ac:dyDescent="0.25">
      <c r="B7" t="s">
        <v>373</v>
      </c>
      <c r="C7" s="27">
        <f>builder!B89</f>
        <v>0</v>
      </c>
      <c r="F7" s="340" t="e">
        <f>IF(builder!B93&lt;&gt;"--",builder!B93,"")</f>
        <v>#N/A</v>
      </c>
      <c r="G7" s="339"/>
      <c r="H7" s="339"/>
      <c r="I7" s="339"/>
      <c r="J7" s="339"/>
      <c r="K7" s="339"/>
      <c r="L7" s="339"/>
      <c r="M7" s="339"/>
      <c r="N7" s="346" t="str">
        <f>IF(builder!B95&lt;&gt;"",builder!B95,"")</f>
        <v/>
      </c>
      <c r="O7" s="347"/>
    </row>
    <row r="8" spans="2:24" x14ac:dyDescent="0.25">
      <c r="B8" t="s">
        <v>374</v>
      </c>
      <c r="C8" s="27">
        <f>builder!G92</f>
        <v>0</v>
      </c>
      <c r="F8" s="343" t="str">
        <f>IF(builder!B92&lt;&gt;"--",IF(builder!B96&lt;&gt;"",builder!B96,""),builder!C93)</f>
        <v/>
      </c>
      <c r="G8" s="344"/>
      <c r="H8" s="344"/>
      <c r="I8" s="344"/>
      <c r="J8" s="344"/>
      <c r="K8" s="344"/>
      <c r="L8" s="344"/>
      <c r="M8" s="344"/>
      <c r="N8" s="344"/>
      <c r="O8" s="345"/>
    </row>
    <row r="10" spans="2:24" x14ac:dyDescent="0.25">
      <c r="B10" s="16" t="s">
        <v>18</v>
      </c>
      <c r="C10" s="4"/>
      <c r="D10" s="4"/>
      <c r="E10" s="4"/>
      <c r="F10" s="4"/>
      <c r="G10" s="4"/>
      <c r="H10" s="4"/>
      <c r="I10" s="4"/>
      <c r="J10" s="4"/>
      <c r="K10" s="4"/>
      <c r="L10" s="4"/>
      <c r="M10" s="4"/>
      <c r="N10" s="4"/>
      <c r="O10" s="4"/>
      <c r="P10" s="4"/>
      <c r="Q10" s="4"/>
      <c r="R10" s="4"/>
      <c r="S10" s="59"/>
    </row>
    <row r="11" spans="2:24" x14ac:dyDescent="0.25">
      <c r="B11" s="6" t="s">
        <v>375</v>
      </c>
      <c r="C11" s="339">
        <f>IF(builder!O99&lt;&gt;"",builder!O99,builder!C99)</f>
        <v>0</v>
      </c>
      <c r="D11" s="339"/>
      <c r="E11" s="25" t="str">
        <f>builder!E99</f>
        <v/>
      </c>
      <c r="F11" s="25"/>
      <c r="G11" s="25"/>
      <c r="H11" s="25"/>
      <c r="I11" s="25"/>
      <c r="J11" s="25"/>
      <c r="K11" s="25"/>
      <c r="L11" s="25"/>
      <c r="M11" s="25"/>
      <c r="N11" s="346" t="str">
        <f>builder!G107</f>
        <v/>
      </c>
      <c r="O11" s="346"/>
      <c r="P11" s="375" t="str">
        <f>IF(builder!I107&lt;&gt;"",builder!I107,"")</f>
        <v/>
      </c>
      <c r="Q11" s="375"/>
      <c r="R11" s="375"/>
      <c r="S11" s="8"/>
      <c r="V11" s="163"/>
    </row>
    <row r="12" spans="2:24" ht="15" customHeight="1" x14ac:dyDescent="0.25">
      <c r="B12" s="354" t="e">
        <f>VLOOKUP(C11,builder!$S$26:$U$48,3)</f>
        <v>#N/A</v>
      </c>
      <c r="C12" s="355"/>
      <c r="D12" s="355"/>
      <c r="E12" s="355"/>
      <c r="F12" s="355"/>
      <c r="G12" s="355"/>
      <c r="H12" s="355"/>
      <c r="I12" s="355"/>
      <c r="J12" s="355"/>
      <c r="K12" s="355"/>
      <c r="L12" s="355"/>
      <c r="M12" s="355"/>
      <c r="N12" s="355"/>
      <c r="O12" s="355"/>
      <c r="P12" s="355"/>
      <c r="Q12" s="355"/>
      <c r="R12" s="355"/>
      <c r="S12" s="356"/>
      <c r="V12" s="163"/>
    </row>
    <row r="13" spans="2:24" x14ac:dyDescent="0.25">
      <c r="B13" s="354"/>
      <c r="C13" s="355"/>
      <c r="D13" s="355"/>
      <c r="E13" s="355"/>
      <c r="F13" s="355"/>
      <c r="G13" s="355"/>
      <c r="H13" s="355"/>
      <c r="I13" s="355"/>
      <c r="J13" s="355"/>
      <c r="K13" s="355"/>
      <c r="L13" s="355"/>
      <c r="M13" s="355"/>
      <c r="N13" s="355"/>
      <c r="O13" s="355"/>
      <c r="P13" s="355"/>
      <c r="Q13" s="355"/>
      <c r="R13" s="355"/>
      <c r="S13" s="356"/>
      <c r="V13" s="163"/>
    </row>
    <row r="14" spans="2:24" x14ac:dyDescent="0.25">
      <c r="B14" s="6" t="s">
        <v>376</v>
      </c>
      <c r="C14" s="339">
        <f>IF(builder!O102&lt;&gt;"",builder!O102,builder!C100)</f>
        <v>0</v>
      </c>
      <c r="D14" s="339"/>
      <c r="E14" s="25" t="str">
        <f>builder!E100</f>
        <v/>
      </c>
      <c r="F14" s="25"/>
      <c r="G14" s="25"/>
      <c r="H14" s="25"/>
      <c r="I14" s="25"/>
      <c r="J14" s="25"/>
      <c r="K14" s="25"/>
      <c r="L14" s="25"/>
      <c r="M14" s="25"/>
      <c r="N14" s="25"/>
      <c r="O14" s="25"/>
      <c r="P14" s="25"/>
      <c r="Q14" s="25"/>
      <c r="R14" s="25"/>
      <c r="S14" s="8"/>
      <c r="V14" s="163"/>
    </row>
    <row r="15" spans="2:24" ht="15" customHeight="1" x14ac:dyDescent="0.25">
      <c r="B15" s="348" t="e">
        <f>VLOOKUP(C14,builder!$V$26:$X$48,3)</f>
        <v>#N/A</v>
      </c>
      <c r="C15" s="349"/>
      <c r="D15" s="349"/>
      <c r="E15" s="349"/>
      <c r="F15" s="349"/>
      <c r="G15" s="349"/>
      <c r="H15" s="349"/>
      <c r="I15" s="349"/>
      <c r="J15" s="349"/>
      <c r="K15" s="349"/>
      <c r="L15" s="349"/>
      <c r="M15" s="349"/>
      <c r="N15" s="349"/>
      <c r="O15" s="349"/>
      <c r="P15" s="349"/>
      <c r="Q15" s="349"/>
      <c r="R15" s="349"/>
      <c r="S15" s="350"/>
    </row>
    <row r="16" spans="2:24" x14ac:dyDescent="0.25">
      <c r="B16" s="351"/>
      <c r="C16" s="352"/>
      <c r="D16" s="352"/>
      <c r="E16" s="352"/>
      <c r="F16" s="352"/>
      <c r="G16" s="352"/>
      <c r="H16" s="352"/>
      <c r="I16" s="352"/>
      <c r="J16" s="352"/>
      <c r="K16" s="352"/>
      <c r="L16" s="352"/>
      <c r="M16" s="352"/>
      <c r="N16" s="352"/>
      <c r="O16" s="352"/>
      <c r="P16" s="352"/>
      <c r="Q16" s="352"/>
      <c r="R16" s="352"/>
      <c r="S16" s="353"/>
    </row>
    <row r="18" spans="2:22" x14ac:dyDescent="0.25">
      <c r="B18" s="336" t="s">
        <v>107</v>
      </c>
      <c r="C18" s="338"/>
      <c r="E18" s="336" t="s">
        <v>92</v>
      </c>
      <c r="F18" s="337"/>
      <c r="G18" s="337"/>
      <c r="H18" s="337"/>
      <c r="I18" s="337"/>
      <c r="J18" s="337"/>
      <c r="K18" s="337"/>
      <c r="L18" s="337"/>
      <c r="M18" s="337"/>
      <c r="N18" s="337"/>
      <c r="O18" s="337"/>
      <c r="P18" s="338"/>
      <c r="R18" s="336" t="s">
        <v>79</v>
      </c>
      <c r="S18" s="338"/>
      <c r="V18" s="163"/>
    </row>
    <row r="19" spans="2:22" x14ac:dyDescent="0.25">
      <c r="B19" s="6" t="s">
        <v>102</v>
      </c>
      <c r="C19" s="29">
        <f>builder!F10</f>
        <v>2</v>
      </c>
      <c r="E19" s="360" t="s">
        <v>93</v>
      </c>
      <c r="F19" s="361"/>
      <c r="G19" s="22"/>
      <c r="H19" s="31">
        <f>builder!O42</f>
        <v>0</v>
      </c>
      <c r="I19" s="22"/>
      <c r="J19" s="22"/>
      <c r="K19" s="22"/>
      <c r="L19" s="361" t="s">
        <v>217</v>
      </c>
      <c r="M19" s="361"/>
      <c r="N19" s="361"/>
      <c r="O19" s="361"/>
      <c r="P19" s="29">
        <f>builder!O50</f>
        <v>0</v>
      </c>
      <c r="R19" s="3" t="s">
        <v>386</v>
      </c>
      <c r="S19" s="173">
        <f>builder!B78</f>
        <v>0</v>
      </c>
      <c r="V19" s="163"/>
    </row>
    <row r="20" spans="2:22" x14ac:dyDescent="0.25">
      <c r="B20" s="6" t="s">
        <v>103</v>
      </c>
      <c r="C20" s="29">
        <f>builder!F11</f>
        <v>2</v>
      </c>
      <c r="E20" s="331" t="s">
        <v>94</v>
      </c>
      <c r="F20" s="332"/>
      <c r="G20" s="22"/>
      <c r="H20" s="31">
        <f>builder!O43</f>
        <v>0</v>
      </c>
      <c r="I20" s="22"/>
      <c r="J20" s="22"/>
      <c r="K20" s="22"/>
      <c r="L20" s="332" t="s">
        <v>218</v>
      </c>
      <c r="M20" s="332"/>
      <c r="N20" s="332"/>
      <c r="O20" s="332"/>
      <c r="P20" s="29">
        <f>builder!O51</f>
        <v>0</v>
      </c>
      <c r="R20" s="6" t="s">
        <v>970</v>
      </c>
      <c r="S20" s="174">
        <f>builder!G78</f>
        <v>0</v>
      </c>
      <c r="V20" s="163"/>
    </row>
    <row r="21" spans="2:22" x14ac:dyDescent="0.25">
      <c r="B21" s="6" t="s">
        <v>104</v>
      </c>
      <c r="C21" s="29">
        <f>builder!F12</f>
        <v>2</v>
      </c>
      <c r="E21" s="331" t="s">
        <v>95</v>
      </c>
      <c r="F21" s="332"/>
      <c r="G21" s="22"/>
      <c r="H21" s="31">
        <f>builder!O44</f>
        <v>0</v>
      </c>
      <c r="I21" s="22"/>
      <c r="J21" s="22"/>
      <c r="K21" s="22"/>
      <c r="L21" s="332" t="s">
        <v>219</v>
      </c>
      <c r="M21" s="332"/>
      <c r="N21" s="332"/>
      <c r="O21" s="332"/>
      <c r="P21" s="29">
        <f>builder!O52</f>
        <v>0</v>
      </c>
      <c r="R21" s="6" t="s">
        <v>389</v>
      </c>
      <c r="S21" s="174">
        <f>builder!B81</f>
        <v>0</v>
      </c>
      <c r="V21" s="163"/>
    </row>
    <row r="22" spans="2:22" x14ac:dyDescent="0.25">
      <c r="B22" s="6" t="s">
        <v>105</v>
      </c>
      <c r="C22" s="29">
        <f>builder!F13</f>
        <v>2</v>
      </c>
      <c r="E22" s="331" t="s">
        <v>96</v>
      </c>
      <c r="F22" s="332"/>
      <c r="G22" s="22"/>
      <c r="H22" s="31">
        <f>builder!O45</f>
        <v>0</v>
      </c>
      <c r="I22" s="22"/>
      <c r="J22" s="22"/>
      <c r="K22" s="22"/>
      <c r="L22" s="332" t="s">
        <v>220</v>
      </c>
      <c r="M22" s="332"/>
      <c r="N22" s="332"/>
      <c r="O22" s="332"/>
      <c r="P22" s="29">
        <f>builder!O53</f>
        <v>0</v>
      </c>
      <c r="R22" s="6" t="s">
        <v>387</v>
      </c>
      <c r="S22" s="174">
        <f>builder!B83</f>
        <v>0</v>
      </c>
    </row>
    <row r="23" spans="2:22" x14ac:dyDescent="0.25">
      <c r="B23" s="9" t="s">
        <v>106</v>
      </c>
      <c r="C23" s="30">
        <f>builder!F14</f>
        <v>2</v>
      </c>
      <c r="E23" s="331" t="s">
        <v>213</v>
      </c>
      <c r="F23" s="332"/>
      <c r="G23" s="22"/>
      <c r="H23" s="31">
        <f>builder!O46</f>
        <v>0</v>
      </c>
      <c r="I23" s="22"/>
      <c r="J23" s="22"/>
      <c r="K23" s="22"/>
      <c r="L23" s="332" t="s">
        <v>221</v>
      </c>
      <c r="M23" s="332"/>
      <c r="N23" s="332"/>
      <c r="O23" s="332"/>
      <c r="P23" s="29">
        <f>builder!O54</f>
        <v>0</v>
      </c>
      <c r="R23" s="6" t="s">
        <v>388</v>
      </c>
      <c r="S23" s="174">
        <f>builder!B85</f>
        <v>0</v>
      </c>
    </row>
    <row r="24" spans="2:22" x14ac:dyDescent="0.25">
      <c r="E24" s="331" t="s">
        <v>214</v>
      </c>
      <c r="F24" s="332"/>
      <c r="G24" s="22"/>
      <c r="H24" s="31">
        <f>builder!O47</f>
        <v>0</v>
      </c>
      <c r="I24" s="22"/>
      <c r="J24" s="22"/>
      <c r="K24" s="22"/>
      <c r="L24" s="332" t="s">
        <v>222</v>
      </c>
      <c r="M24" s="332"/>
      <c r="N24" s="332"/>
      <c r="O24" s="332"/>
      <c r="P24" s="29">
        <f>builder!O55</f>
        <v>0</v>
      </c>
      <c r="R24" s="6"/>
      <c r="S24" s="8"/>
    </row>
    <row r="25" spans="2:22" x14ac:dyDescent="0.25">
      <c r="B25" s="341" t="s">
        <v>378</v>
      </c>
      <c r="C25" s="342"/>
      <c r="E25" s="331" t="s">
        <v>215</v>
      </c>
      <c r="F25" s="332"/>
      <c r="G25" s="22"/>
      <c r="H25" s="31">
        <f>builder!O48</f>
        <v>0</v>
      </c>
      <c r="I25" s="22"/>
      <c r="J25" s="22"/>
      <c r="K25" s="22"/>
      <c r="L25" s="332" t="s">
        <v>223</v>
      </c>
      <c r="M25" s="332"/>
      <c r="N25" s="332"/>
      <c r="O25" s="332"/>
      <c r="P25" s="29">
        <f>builder!O56</f>
        <v>0</v>
      </c>
      <c r="R25" s="6"/>
      <c r="S25" s="8"/>
    </row>
    <row r="26" spans="2:22" x14ac:dyDescent="0.25">
      <c r="B26" s="357">
        <f>builder!B103</f>
        <v>0</v>
      </c>
      <c r="C26" s="358"/>
      <c r="E26" s="362" t="s">
        <v>216</v>
      </c>
      <c r="F26" s="359"/>
      <c r="G26" s="23"/>
      <c r="H26" s="32">
        <f>builder!O49</f>
        <v>0</v>
      </c>
      <c r="I26" s="23"/>
      <c r="J26" s="23"/>
      <c r="K26" s="23"/>
      <c r="L26" s="359" t="s">
        <v>224</v>
      </c>
      <c r="M26" s="359"/>
      <c r="N26" s="359"/>
      <c r="O26" s="359"/>
      <c r="P26" s="30">
        <f>builder!O57</f>
        <v>0</v>
      </c>
      <c r="R26" s="9"/>
      <c r="S26" s="11"/>
    </row>
    <row r="27" spans="2:22" x14ac:dyDescent="0.25">
      <c r="B27" s="368" t="s">
        <v>1010</v>
      </c>
      <c r="C27" s="368"/>
      <c r="D27" s="344" t="s">
        <v>1011</v>
      </c>
      <c r="E27" s="344"/>
      <c r="F27" s="344"/>
      <c r="G27" s="344"/>
      <c r="H27" s="344"/>
      <c r="I27" s="344"/>
      <c r="J27" s="344"/>
      <c r="K27" s="344"/>
      <c r="L27" s="344"/>
      <c r="M27" s="344"/>
      <c r="N27" s="344"/>
      <c r="O27" s="344"/>
      <c r="P27" s="344"/>
      <c r="Q27" s="344"/>
      <c r="R27" s="378" t="s">
        <v>1012</v>
      </c>
      <c r="S27" s="378"/>
    </row>
    <row r="28" spans="2:22" x14ac:dyDescent="0.25">
      <c r="B28" s="16" t="s">
        <v>97</v>
      </c>
      <c r="C28" s="4"/>
      <c r="D28" s="4"/>
      <c r="E28" s="4"/>
      <c r="F28" s="4"/>
      <c r="G28" s="4"/>
      <c r="H28" s="4"/>
      <c r="I28" s="4"/>
      <c r="J28" s="4"/>
      <c r="K28" s="4"/>
      <c r="L28" s="4"/>
      <c r="M28" s="4"/>
      <c r="N28" s="4"/>
      <c r="O28" s="4"/>
      <c r="P28" s="4"/>
      <c r="Q28" s="4"/>
      <c r="R28" s="4"/>
      <c r="S28" s="5"/>
    </row>
    <row r="29" spans="2:22" x14ac:dyDescent="0.25">
      <c r="B29" s="340">
        <f>builder!B22</f>
        <v>0</v>
      </c>
      <c r="C29" s="339"/>
      <c r="D29" s="339"/>
      <c r="E29" s="7"/>
      <c r="F29" s="7"/>
      <c r="G29" s="7"/>
      <c r="H29" s="7"/>
      <c r="I29" s="7"/>
      <c r="J29" s="7"/>
      <c r="K29" s="7"/>
      <c r="L29" s="7"/>
      <c r="M29" s="7"/>
      <c r="N29" s="7"/>
      <c r="O29" s="7"/>
      <c r="P29" s="7"/>
      <c r="Q29" s="7"/>
      <c r="R29" s="7"/>
      <c r="S29" s="8"/>
    </row>
    <row r="30" spans="2:22" x14ac:dyDescent="0.25">
      <c r="B30" s="319" t="e">
        <f>VLOOKUP(builder!$B$22,backgrounds!$B$15:$M$140,12)</f>
        <v>#N/A</v>
      </c>
      <c r="C30" s="320"/>
      <c r="D30" s="320"/>
      <c r="E30" s="320"/>
      <c r="F30" s="320"/>
      <c r="G30" s="320"/>
      <c r="H30" s="320"/>
      <c r="I30" s="320"/>
      <c r="J30" s="320"/>
      <c r="K30" s="320"/>
      <c r="L30" s="320"/>
      <c r="M30" s="320"/>
      <c r="N30" s="320"/>
      <c r="O30" s="320"/>
      <c r="P30" s="320"/>
      <c r="Q30" s="320"/>
      <c r="R30" s="320"/>
      <c r="S30" s="321"/>
    </row>
    <row r="31" spans="2:22" x14ac:dyDescent="0.25">
      <c r="B31" s="319"/>
      <c r="C31" s="320"/>
      <c r="D31" s="320"/>
      <c r="E31" s="320"/>
      <c r="F31" s="320"/>
      <c r="G31" s="320"/>
      <c r="H31" s="320"/>
      <c r="I31" s="320"/>
      <c r="J31" s="320"/>
      <c r="K31" s="320"/>
      <c r="L31" s="320"/>
      <c r="M31" s="320"/>
      <c r="N31" s="320"/>
      <c r="O31" s="320"/>
      <c r="P31" s="320"/>
      <c r="Q31" s="320"/>
      <c r="R31" s="320"/>
      <c r="S31" s="321"/>
    </row>
    <row r="32" spans="2:22" x14ac:dyDescent="0.25">
      <c r="B32" s="319" t="e">
        <f>CONCATENATE("Quirk: ",IF(builder!N24&lt;&gt;"",builder!N24,builder!B24))</f>
        <v>#N/A</v>
      </c>
      <c r="C32" s="320"/>
      <c r="D32" s="320"/>
      <c r="E32" s="320"/>
      <c r="F32" s="320"/>
      <c r="G32" s="320"/>
      <c r="H32" s="320"/>
      <c r="I32" s="320"/>
      <c r="J32" s="320"/>
      <c r="K32" s="320"/>
      <c r="L32" s="320"/>
      <c r="M32" s="320"/>
      <c r="N32" s="320"/>
      <c r="O32" s="320"/>
      <c r="P32" s="320"/>
      <c r="Q32" s="320"/>
      <c r="R32" s="320"/>
      <c r="S32" s="321"/>
    </row>
    <row r="33" spans="2:19" x14ac:dyDescent="0.25">
      <c r="B33" s="319"/>
      <c r="C33" s="320"/>
      <c r="D33" s="320"/>
      <c r="E33" s="320"/>
      <c r="F33" s="320"/>
      <c r="G33" s="320"/>
      <c r="H33" s="320"/>
      <c r="I33" s="320"/>
      <c r="J33" s="320"/>
      <c r="K33" s="320"/>
      <c r="L33" s="320"/>
      <c r="M33" s="320"/>
      <c r="N33" s="320"/>
      <c r="O33" s="320"/>
      <c r="P33" s="320"/>
      <c r="Q33" s="320"/>
      <c r="R33" s="320"/>
      <c r="S33" s="321"/>
    </row>
    <row r="34" spans="2:19" x14ac:dyDescent="0.25">
      <c r="B34" s="6"/>
      <c r="C34" s="7"/>
      <c r="D34" s="7"/>
      <c r="E34" s="7"/>
      <c r="F34" s="7"/>
      <c r="G34" s="7"/>
      <c r="H34" s="7"/>
      <c r="I34" s="7"/>
      <c r="J34" s="7"/>
      <c r="K34" s="7"/>
      <c r="L34" s="7"/>
      <c r="M34" s="7"/>
      <c r="N34" s="7"/>
      <c r="O34" s="7"/>
      <c r="P34" s="7"/>
      <c r="Q34" s="7"/>
      <c r="R34" s="7"/>
      <c r="S34" s="8"/>
    </row>
    <row r="35" spans="2:19" x14ac:dyDescent="0.25">
      <c r="B35" s="340">
        <f>builder!F22</f>
        <v>0</v>
      </c>
      <c r="C35" s="339"/>
      <c r="D35" s="339"/>
      <c r="E35" s="7"/>
      <c r="F35" s="7"/>
      <c r="G35" s="7"/>
      <c r="H35" s="7"/>
      <c r="I35" s="7"/>
      <c r="J35" s="7"/>
      <c r="K35" s="7"/>
      <c r="L35" s="7"/>
      <c r="M35" s="7"/>
      <c r="N35" s="7"/>
      <c r="O35" s="7"/>
      <c r="P35" s="7"/>
      <c r="Q35" s="7"/>
      <c r="R35" s="7"/>
      <c r="S35" s="8"/>
    </row>
    <row r="36" spans="2:19" x14ac:dyDescent="0.25">
      <c r="B36" s="319" t="e">
        <f>VLOOKUP(builder!$F$22,backgrounds!$B$15:$M$140,12)</f>
        <v>#N/A</v>
      </c>
      <c r="C36" s="320"/>
      <c r="D36" s="320"/>
      <c r="E36" s="320"/>
      <c r="F36" s="320"/>
      <c r="G36" s="320"/>
      <c r="H36" s="320"/>
      <c r="I36" s="320"/>
      <c r="J36" s="320"/>
      <c r="K36" s="320"/>
      <c r="L36" s="320"/>
      <c r="M36" s="320"/>
      <c r="N36" s="320"/>
      <c r="O36" s="320"/>
      <c r="P36" s="320"/>
      <c r="Q36" s="320"/>
      <c r="R36" s="320"/>
      <c r="S36" s="321"/>
    </row>
    <row r="37" spans="2:19" x14ac:dyDescent="0.25">
      <c r="B37" s="319"/>
      <c r="C37" s="320"/>
      <c r="D37" s="320"/>
      <c r="E37" s="320"/>
      <c r="F37" s="320"/>
      <c r="G37" s="320"/>
      <c r="H37" s="320"/>
      <c r="I37" s="320"/>
      <c r="J37" s="320"/>
      <c r="K37" s="320"/>
      <c r="L37" s="320"/>
      <c r="M37" s="320"/>
      <c r="N37" s="320"/>
      <c r="O37" s="320"/>
      <c r="P37" s="320"/>
      <c r="Q37" s="320"/>
      <c r="R37" s="320"/>
      <c r="S37" s="321"/>
    </row>
    <row r="38" spans="2:19" x14ac:dyDescent="0.25">
      <c r="B38" s="319" t="e">
        <f>CONCATENATE("Quirk: ",IF(builder!N28&lt;&gt;"",builder!N28,builder!F24))</f>
        <v>#N/A</v>
      </c>
      <c r="C38" s="320"/>
      <c r="D38" s="320"/>
      <c r="E38" s="320"/>
      <c r="F38" s="320"/>
      <c r="G38" s="320"/>
      <c r="H38" s="320"/>
      <c r="I38" s="320"/>
      <c r="J38" s="320"/>
      <c r="K38" s="320"/>
      <c r="L38" s="320"/>
      <c r="M38" s="320"/>
      <c r="N38" s="320"/>
      <c r="O38" s="320"/>
      <c r="P38" s="320"/>
      <c r="Q38" s="320"/>
      <c r="R38" s="320"/>
      <c r="S38" s="321"/>
    </row>
    <row r="39" spans="2:19" x14ac:dyDescent="0.25">
      <c r="B39" s="322"/>
      <c r="C39" s="323"/>
      <c r="D39" s="323"/>
      <c r="E39" s="323"/>
      <c r="F39" s="323"/>
      <c r="G39" s="323"/>
      <c r="H39" s="323"/>
      <c r="I39" s="323"/>
      <c r="J39" s="323"/>
      <c r="K39" s="323"/>
      <c r="L39" s="323"/>
      <c r="M39" s="323"/>
      <c r="N39" s="323"/>
      <c r="O39" s="323"/>
      <c r="P39" s="323"/>
      <c r="Q39" s="323"/>
      <c r="R39" s="323"/>
      <c r="S39" s="324"/>
    </row>
    <row r="40" spans="2:19" ht="15.75" thickBot="1" x14ac:dyDescent="0.3"/>
    <row r="41" spans="2:19" ht="15.75" thickBot="1" x14ac:dyDescent="0.3">
      <c r="B41" t="s">
        <v>379</v>
      </c>
      <c r="E41" s="7"/>
      <c r="F41" s="15"/>
      <c r="G41" s="7"/>
      <c r="H41" s="15"/>
      <c r="I41" s="7"/>
      <c r="J41" s="15"/>
      <c r="K41" s="7"/>
      <c r="L41" s="15"/>
      <c r="M41" s="7"/>
      <c r="N41" s="28"/>
      <c r="Q41" s="376" t="b">
        <f>IF(builder!H94="yes","Ship's Charter")</f>
        <v>0</v>
      </c>
      <c r="R41" s="376"/>
    </row>
    <row r="42" spans="2:19" ht="4.5" customHeight="1" thickBot="1" x14ac:dyDescent="0.3">
      <c r="E42" s="7"/>
      <c r="F42" s="7"/>
      <c r="G42" s="7"/>
      <c r="H42" s="7"/>
      <c r="I42" s="7"/>
      <c r="J42" s="7"/>
      <c r="K42" s="7"/>
      <c r="L42" s="7"/>
      <c r="M42" s="7"/>
      <c r="N42" s="7"/>
      <c r="Q42" s="191"/>
      <c r="R42" s="191"/>
    </row>
    <row r="43" spans="2:19" ht="15.75" thickBot="1" x14ac:dyDescent="0.3">
      <c r="B43" t="s">
        <v>380</v>
      </c>
      <c r="E43" s="7"/>
      <c r="F43" s="15"/>
      <c r="G43" s="7"/>
      <c r="H43" s="15"/>
      <c r="I43" s="7"/>
      <c r="J43" s="15"/>
      <c r="K43" s="7"/>
      <c r="L43" s="15"/>
      <c r="M43" s="7"/>
      <c r="N43" s="28"/>
      <c r="Q43" s="376" t="str">
        <f>IF(Q41&lt;&gt;"",CONCATENATE(builder!H95," Signers"))</f>
        <v xml:space="preserve"> Signers</v>
      </c>
      <c r="R43" s="376"/>
    </row>
    <row r="44" spans="2:19" ht="4.5" customHeight="1" thickBot="1" x14ac:dyDescent="0.3">
      <c r="E44" s="7"/>
      <c r="F44" s="7"/>
      <c r="G44" s="7"/>
      <c r="H44" s="7"/>
      <c r="I44" s="7"/>
      <c r="J44" s="7"/>
      <c r="K44" s="7"/>
      <c r="L44" s="7"/>
      <c r="M44" s="7"/>
      <c r="N44" s="7"/>
    </row>
    <row r="45" spans="2:19" ht="15.75" thickBot="1" x14ac:dyDescent="0.3">
      <c r="B45" t="s">
        <v>381</v>
      </c>
      <c r="E45" s="7"/>
      <c r="F45" s="15"/>
      <c r="G45" s="7"/>
      <c r="H45" s="15"/>
      <c r="I45" s="7"/>
      <c r="J45" s="15"/>
      <c r="K45" s="7"/>
      <c r="L45" s="15"/>
      <c r="M45" s="7"/>
      <c r="N45" s="28"/>
    </row>
    <row r="46" spans="2:19" ht="4.5" customHeight="1" thickBot="1" x14ac:dyDescent="0.3">
      <c r="E46" s="7"/>
      <c r="F46" s="7"/>
      <c r="G46" s="7"/>
      <c r="H46" s="7"/>
      <c r="I46" s="7"/>
      <c r="J46" s="7"/>
      <c r="K46" s="7"/>
      <c r="L46" s="7"/>
      <c r="M46" s="7"/>
      <c r="N46" s="7"/>
    </row>
    <row r="47" spans="2:19" ht="15.75" thickBot="1" x14ac:dyDescent="0.3">
      <c r="B47" s="61" t="str">
        <f>IF(COUNTIF('adv shuffle'!B2:B23,builder!#REF!)&gt;0,"Hard to Kill 4th: Villains get +3 Bonus dice","4th: You are helpless")</f>
        <v>4th: You are helpless</v>
      </c>
      <c r="E47" s="7"/>
      <c r="F47" s="15"/>
      <c r="G47" s="7"/>
      <c r="H47" s="15"/>
      <c r="I47" s="7"/>
      <c r="J47" s="15"/>
      <c r="K47" s="7"/>
      <c r="L47" s="15"/>
      <c r="M47" s="7"/>
      <c r="N47" s="28"/>
    </row>
    <row r="48" spans="2:19" ht="4.5" customHeight="1" x14ac:dyDescent="0.25">
      <c r="E48" s="7"/>
      <c r="F48" s="7"/>
      <c r="G48" s="7"/>
      <c r="H48" s="7"/>
      <c r="I48" s="7"/>
      <c r="J48" s="7"/>
      <c r="K48" s="7"/>
      <c r="L48" s="7"/>
      <c r="M48" s="7"/>
      <c r="N48" s="7"/>
    </row>
    <row r="49" spans="2:19" x14ac:dyDescent="0.25">
      <c r="B49" t="str">
        <f>IF(COUNTIF('adv shuffle'!B2:B23,builder!#REF!)&gt;0,"Hard to Kill 5th: You are helpless","")</f>
        <v/>
      </c>
      <c r="E49" s="7"/>
      <c r="F49" s="7"/>
      <c r="G49" s="7"/>
      <c r="H49" s="7"/>
      <c r="I49" s="7"/>
      <c r="J49" s="7"/>
      <c r="K49" s="7"/>
      <c r="L49" s="7"/>
      <c r="M49" s="7"/>
      <c r="N49" s="7"/>
      <c r="Q49" s="380">
        <f ca="1">NOW()</f>
        <v>43052.714838425927</v>
      </c>
      <c r="R49" s="380"/>
      <c r="S49" s="380"/>
    </row>
    <row r="50" spans="2:19" x14ac:dyDescent="0.25">
      <c r="B50" s="326">
        <f>$C$2</f>
        <v>0</v>
      </c>
      <c r="C50" s="327"/>
      <c r="D50" s="327"/>
      <c r="E50" s="327"/>
      <c r="F50" s="327"/>
      <c r="G50" s="327"/>
      <c r="H50" s="327"/>
      <c r="I50" s="327"/>
      <c r="J50" s="327"/>
      <c r="K50" s="327"/>
      <c r="L50" s="327"/>
      <c r="M50" s="327"/>
      <c r="N50" s="327"/>
      <c r="O50" s="327"/>
      <c r="P50" s="327"/>
      <c r="Q50" s="327"/>
      <c r="R50" s="327"/>
      <c r="S50" s="328"/>
    </row>
    <row r="51" spans="2:19" s="24" customFormat="1" ht="4.5" customHeight="1" x14ac:dyDescent="0.25">
      <c r="B51" s="54"/>
      <c r="C51" s="54"/>
      <c r="D51" s="54"/>
      <c r="E51" s="54"/>
      <c r="F51" s="54"/>
      <c r="G51" s="54"/>
      <c r="H51" s="54"/>
      <c r="I51" s="54"/>
      <c r="J51" s="54"/>
      <c r="K51" s="54"/>
      <c r="L51" s="54"/>
      <c r="M51" s="54"/>
      <c r="N51" s="54"/>
      <c r="O51" s="54"/>
      <c r="P51" s="54"/>
      <c r="Q51" s="54"/>
      <c r="R51" s="54"/>
      <c r="S51" s="54"/>
    </row>
    <row r="52" spans="2:19" x14ac:dyDescent="0.25">
      <c r="B52" s="330" t="s">
        <v>0</v>
      </c>
      <c r="C52" s="330"/>
      <c r="D52" s="330"/>
      <c r="E52" s="330"/>
      <c r="F52" s="330"/>
      <c r="G52" s="330"/>
      <c r="H52" s="330"/>
      <c r="I52" s="330"/>
      <c r="J52" s="330"/>
      <c r="K52" s="330"/>
      <c r="L52" s="330"/>
      <c r="M52" s="330"/>
      <c r="N52" s="330"/>
      <c r="O52" s="330"/>
      <c r="P52" s="330"/>
      <c r="Q52" s="330"/>
      <c r="R52" s="330"/>
      <c r="S52" s="330"/>
    </row>
    <row r="53" spans="2:19" x14ac:dyDescent="0.25">
      <c r="B53" s="325" t="str">
        <f>'adv shuffle'!N2</f>
        <v/>
      </c>
      <c r="C53" s="325"/>
      <c r="D53" s="325"/>
      <c r="E53" s="41"/>
      <c r="F53" s="41"/>
      <c r="G53" s="41"/>
      <c r="H53" s="41"/>
      <c r="I53" s="41"/>
      <c r="J53" s="41"/>
      <c r="K53" s="41"/>
      <c r="L53" s="41"/>
      <c r="M53" s="41"/>
      <c r="N53" s="41"/>
      <c r="O53" s="41"/>
      <c r="P53" s="41"/>
      <c r="Q53" s="41"/>
      <c r="R53" s="41"/>
      <c r="S53" s="41"/>
    </row>
    <row r="54" spans="2:19" x14ac:dyDescent="0.25">
      <c r="B54" s="317" t="str">
        <f>IF(B53&lt;&gt;"",VLOOKUP(B53,advantages!$C$6:$I$135,7),"")</f>
        <v/>
      </c>
      <c r="C54" s="317"/>
      <c r="D54" s="317"/>
      <c r="E54" s="317"/>
      <c r="F54" s="317"/>
      <c r="G54" s="317"/>
      <c r="H54" s="317"/>
      <c r="I54" s="317"/>
      <c r="J54" s="317"/>
      <c r="K54" s="317"/>
      <c r="L54" s="317"/>
      <c r="M54" s="317"/>
      <c r="N54" s="317"/>
      <c r="O54" s="317"/>
      <c r="P54" s="317"/>
      <c r="Q54" s="317"/>
      <c r="R54" s="317"/>
      <c r="S54" s="317"/>
    </row>
    <row r="55" spans="2:19" ht="55.5" customHeight="1" x14ac:dyDescent="0.25">
      <c r="B55" s="317"/>
      <c r="C55" s="317"/>
      <c r="D55" s="317"/>
      <c r="E55" s="317"/>
      <c r="F55" s="317"/>
      <c r="G55" s="317"/>
      <c r="H55" s="317"/>
      <c r="I55" s="317"/>
      <c r="J55" s="317"/>
      <c r="K55" s="317"/>
      <c r="L55" s="317"/>
      <c r="M55" s="317"/>
      <c r="N55" s="317"/>
      <c r="O55" s="317"/>
      <c r="P55" s="317"/>
      <c r="Q55" s="317"/>
      <c r="R55" s="317"/>
      <c r="S55" s="317"/>
    </row>
    <row r="56" spans="2:19" x14ac:dyDescent="0.25">
      <c r="B56" s="325" t="str">
        <f>'adv shuffle'!N3</f>
        <v/>
      </c>
      <c r="C56" s="325"/>
      <c r="D56" s="325"/>
      <c r="E56" s="41"/>
      <c r="F56" s="41"/>
      <c r="G56" s="41"/>
      <c r="H56" s="41"/>
      <c r="I56" s="41"/>
      <c r="J56" s="41"/>
      <c r="K56" s="41"/>
      <c r="L56" s="41"/>
      <c r="M56" s="41"/>
      <c r="N56" s="41"/>
      <c r="O56" s="41"/>
      <c r="P56" s="41"/>
      <c r="Q56" s="41"/>
      <c r="R56" s="41"/>
      <c r="S56" s="41"/>
    </row>
    <row r="57" spans="2:19" x14ac:dyDescent="0.25">
      <c r="B57" s="317" t="str">
        <f>IF(B56&lt;&gt;"",VLOOKUP(B56,advantages!$C$6:$I$135,7),"")</f>
        <v/>
      </c>
      <c r="C57" s="317"/>
      <c r="D57" s="317"/>
      <c r="E57" s="317"/>
      <c r="F57" s="317"/>
      <c r="G57" s="317"/>
      <c r="H57" s="317"/>
      <c r="I57" s="317"/>
      <c r="J57" s="317"/>
      <c r="K57" s="317"/>
      <c r="L57" s="317"/>
      <c r="M57" s="317"/>
      <c r="N57" s="317"/>
      <c r="O57" s="317"/>
      <c r="P57" s="317"/>
      <c r="Q57" s="317"/>
      <c r="R57" s="317"/>
      <c r="S57" s="317"/>
    </row>
    <row r="58" spans="2:19" ht="55.5" customHeight="1" x14ac:dyDescent="0.25">
      <c r="B58" s="317"/>
      <c r="C58" s="317"/>
      <c r="D58" s="317"/>
      <c r="E58" s="317"/>
      <c r="F58" s="317"/>
      <c r="G58" s="317"/>
      <c r="H58" s="317"/>
      <c r="I58" s="317"/>
      <c r="J58" s="317"/>
      <c r="K58" s="317"/>
      <c r="L58" s="317"/>
      <c r="M58" s="317"/>
      <c r="N58" s="317"/>
      <c r="O58" s="317"/>
      <c r="P58" s="317"/>
      <c r="Q58" s="317"/>
      <c r="R58" s="317"/>
      <c r="S58" s="317"/>
    </row>
    <row r="59" spans="2:19" x14ac:dyDescent="0.25">
      <c r="B59" s="325" t="str">
        <f>'adv shuffle'!N4</f>
        <v/>
      </c>
      <c r="C59" s="325"/>
      <c r="D59" s="325"/>
      <c r="E59" s="41"/>
      <c r="F59" s="41"/>
      <c r="G59" s="41"/>
      <c r="H59" s="41"/>
      <c r="I59" s="41"/>
      <c r="J59" s="41"/>
      <c r="K59" s="41"/>
      <c r="L59" s="41"/>
      <c r="M59" s="41"/>
      <c r="N59" s="41"/>
      <c r="O59" s="41"/>
      <c r="P59" s="41"/>
      <c r="Q59" s="41"/>
      <c r="R59" s="41"/>
      <c r="S59" s="41"/>
    </row>
    <row r="60" spans="2:19" x14ac:dyDescent="0.25">
      <c r="B60" s="317" t="str">
        <f>IF(B59&lt;&gt;"",VLOOKUP(B59,advantages!$C$6:$I$135,7),"")</f>
        <v/>
      </c>
      <c r="C60" s="317"/>
      <c r="D60" s="317"/>
      <c r="E60" s="317"/>
      <c r="F60" s="317"/>
      <c r="G60" s="317"/>
      <c r="H60" s="317"/>
      <c r="I60" s="317"/>
      <c r="J60" s="317"/>
      <c r="K60" s="317"/>
      <c r="L60" s="317"/>
      <c r="M60" s="317"/>
      <c r="N60" s="317"/>
      <c r="O60" s="317"/>
      <c r="P60" s="317"/>
      <c r="Q60" s="317"/>
      <c r="R60" s="317"/>
      <c r="S60" s="317"/>
    </row>
    <row r="61" spans="2:19" ht="55.5" customHeight="1" x14ac:dyDescent="0.25">
      <c r="B61" s="317"/>
      <c r="C61" s="317"/>
      <c r="D61" s="317"/>
      <c r="E61" s="317"/>
      <c r="F61" s="317"/>
      <c r="G61" s="317"/>
      <c r="H61" s="317"/>
      <c r="I61" s="317"/>
      <c r="J61" s="317"/>
      <c r="K61" s="317"/>
      <c r="L61" s="317"/>
      <c r="M61" s="317"/>
      <c r="N61" s="317"/>
      <c r="O61" s="317"/>
      <c r="P61" s="317"/>
      <c r="Q61" s="317"/>
      <c r="R61" s="317"/>
      <c r="S61" s="317"/>
    </row>
    <row r="62" spans="2:19" x14ac:dyDescent="0.25">
      <c r="B62" s="325" t="str">
        <f>'adv shuffle'!N5</f>
        <v/>
      </c>
      <c r="C62" s="325"/>
      <c r="D62" s="325"/>
      <c r="E62" s="41"/>
      <c r="F62" s="41"/>
      <c r="G62" s="41"/>
      <c r="H62" s="41"/>
      <c r="I62" s="41"/>
      <c r="J62" s="41"/>
      <c r="K62" s="41"/>
      <c r="L62" s="41"/>
      <c r="M62" s="41"/>
      <c r="N62" s="41"/>
      <c r="O62" s="41"/>
      <c r="P62" s="41"/>
      <c r="Q62" s="41"/>
      <c r="R62" s="41"/>
      <c r="S62" s="41"/>
    </row>
    <row r="63" spans="2:19" x14ac:dyDescent="0.25">
      <c r="B63" s="317" t="str">
        <f>IF(B62&lt;&gt;"",VLOOKUP(B62,advantages!$C$6:$I$135,7),"")</f>
        <v/>
      </c>
      <c r="C63" s="317"/>
      <c r="D63" s="317"/>
      <c r="E63" s="317"/>
      <c r="F63" s="317"/>
      <c r="G63" s="317"/>
      <c r="H63" s="317"/>
      <c r="I63" s="317"/>
      <c r="J63" s="317"/>
      <c r="K63" s="317"/>
      <c r="L63" s="317"/>
      <c r="M63" s="317"/>
      <c r="N63" s="317"/>
      <c r="O63" s="317"/>
      <c r="P63" s="317"/>
      <c r="Q63" s="317"/>
      <c r="R63" s="317"/>
      <c r="S63" s="317"/>
    </row>
    <row r="64" spans="2:19" ht="55.5" customHeight="1" x14ac:dyDescent="0.25">
      <c r="B64" s="317"/>
      <c r="C64" s="317"/>
      <c r="D64" s="317"/>
      <c r="E64" s="317"/>
      <c r="F64" s="317"/>
      <c r="G64" s="317"/>
      <c r="H64" s="317"/>
      <c r="I64" s="317"/>
      <c r="J64" s="317"/>
      <c r="K64" s="317"/>
      <c r="L64" s="317"/>
      <c r="M64" s="317"/>
      <c r="N64" s="317"/>
      <c r="O64" s="317"/>
      <c r="P64" s="317"/>
      <c r="Q64" s="317"/>
      <c r="R64" s="317"/>
      <c r="S64" s="317"/>
    </row>
    <row r="65" spans="2:23" x14ac:dyDescent="0.25">
      <c r="B65" s="325" t="str">
        <f>'adv shuffle'!N6</f>
        <v/>
      </c>
      <c r="C65" s="325"/>
      <c r="D65" s="325"/>
      <c r="E65" s="41"/>
      <c r="F65" s="41"/>
      <c r="G65" s="41"/>
      <c r="H65" s="41"/>
      <c r="I65" s="41"/>
      <c r="J65" s="41"/>
      <c r="K65" s="41"/>
      <c r="L65" s="41"/>
      <c r="M65" s="41"/>
      <c r="N65" s="41"/>
      <c r="O65" s="41"/>
      <c r="P65" s="41"/>
      <c r="Q65" s="41"/>
      <c r="R65" s="41"/>
      <c r="S65" s="41"/>
    </row>
    <row r="66" spans="2:23" x14ac:dyDescent="0.25">
      <c r="B66" s="317" t="str">
        <f>IF(B65&lt;&gt;"",VLOOKUP(B65,advantages!$C$6:$I$135,7),"")</f>
        <v/>
      </c>
      <c r="C66" s="317"/>
      <c r="D66" s="317"/>
      <c r="E66" s="317"/>
      <c r="F66" s="317"/>
      <c r="G66" s="317"/>
      <c r="H66" s="317"/>
      <c r="I66" s="317"/>
      <c r="J66" s="317"/>
      <c r="K66" s="317"/>
      <c r="L66" s="317"/>
      <c r="M66" s="317"/>
      <c r="N66" s="317"/>
      <c r="O66" s="317"/>
      <c r="P66" s="317"/>
      <c r="Q66" s="317"/>
      <c r="R66" s="317"/>
      <c r="S66" s="317"/>
    </row>
    <row r="67" spans="2:23" ht="55.5" customHeight="1" x14ac:dyDescent="0.25">
      <c r="B67" s="317"/>
      <c r="C67" s="317"/>
      <c r="D67" s="317"/>
      <c r="E67" s="317"/>
      <c r="F67" s="317"/>
      <c r="G67" s="317"/>
      <c r="H67" s="317"/>
      <c r="I67" s="317"/>
      <c r="J67" s="317"/>
      <c r="K67" s="317"/>
      <c r="L67" s="317"/>
      <c r="M67" s="317"/>
      <c r="N67" s="317"/>
      <c r="O67" s="317"/>
      <c r="P67" s="317"/>
      <c r="Q67" s="317"/>
      <c r="R67" s="317"/>
      <c r="S67" s="317"/>
      <c r="U67" s="27"/>
      <c r="V67" s="27"/>
      <c r="W67" s="27"/>
    </row>
    <row r="68" spans="2:23" x14ac:dyDescent="0.25">
      <c r="B68" s="325" t="str">
        <f>'adv shuffle'!N7</f>
        <v/>
      </c>
      <c r="C68" s="325"/>
      <c r="D68" s="325"/>
      <c r="E68" s="41"/>
      <c r="F68" s="41"/>
      <c r="G68" s="41"/>
      <c r="H68" s="41"/>
      <c r="I68" s="41"/>
      <c r="J68" s="41"/>
      <c r="K68" s="41"/>
      <c r="L68" s="41"/>
      <c r="M68" s="41"/>
      <c r="N68" s="41"/>
      <c r="O68" s="41"/>
      <c r="P68" s="41"/>
      <c r="Q68" s="41"/>
      <c r="R68" s="41"/>
      <c r="S68" s="41"/>
      <c r="U68" s="27"/>
      <c r="V68" s="27"/>
      <c r="W68" s="27"/>
    </row>
    <row r="69" spans="2:23" x14ac:dyDescent="0.25">
      <c r="B69" s="317" t="str">
        <f>IF(B68&lt;&gt;"",VLOOKUP(B68,advantages!$C$6:$I$135,7),"")</f>
        <v/>
      </c>
      <c r="C69" s="317"/>
      <c r="D69" s="317"/>
      <c r="E69" s="317"/>
      <c r="F69" s="317"/>
      <c r="G69" s="317"/>
      <c r="H69" s="317"/>
      <c r="I69" s="317"/>
      <c r="J69" s="317"/>
      <c r="K69" s="317"/>
      <c r="L69" s="317"/>
      <c r="M69" s="317"/>
      <c r="N69" s="317"/>
      <c r="O69" s="317"/>
      <c r="P69" s="317"/>
      <c r="Q69" s="317"/>
      <c r="R69" s="317"/>
      <c r="S69" s="317"/>
    </row>
    <row r="70" spans="2:23" ht="55.5" customHeight="1" x14ac:dyDescent="0.25">
      <c r="B70" s="317"/>
      <c r="C70" s="317"/>
      <c r="D70" s="317"/>
      <c r="E70" s="317"/>
      <c r="F70" s="317"/>
      <c r="G70" s="317"/>
      <c r="H70" s="317"/>
      <c r="I70" s="317"/>
      <c r="J70" s="317"/>
      <c r="K70" s="317"/>
      <c r="L70" s="317"/>
      <c r="M70" s="317"/>
      <c r="N70" s="317"/>
      <c r="O70" s="317"/>
      <c r="P70" s="317"/>
      <c r="Q70" s="317"/>
      <c r="R70" s="317"/>
      <c r="S70" s="317"/>
    </row>
    <row r="71" spans="2:23" x14ac:dyDescent="0.25">
      <c r="B71" s="325" t="str">
        <f>'adv shuffle'!N8</f>
        <v/>
      </c>
      <c r="C71" s="325"/>
      <c r="D71" s="325"/>
      <c r="E71" s="41"/>
      <c r="F71" s="41"/>
      <c r="G71" s="41"/>
      <c r="H71" s="41"/>
      <c r="I71" s="41"/>
      <c r="J71" s="41"/>
      <c r="K71" s="41"/>
      <c r="L71" s="41"/>
      <c r="M71" s="41"/>
      <c r="N71" s="41"/>
      <c r="O71" s="41"/>
      <c r="P71" s="41"/>
      <c r="Q71" s="41"/>
      <c r="R71" s="41"/>
      <c r="S71" s="41"/>
    </row>
    <row r="72" spans="2:23" x14ac:dyDescent="0.25">
      <c r="B72" s="317" t="str">
        <f>IF(B71&lt;&gt;"",VLOOKUP(B71,advantages!$C$6:$I$135,7),"")</f>
        <v/>
      </c>
      <c r="C72" s="317"/>
      <c r="D72" s="317"/>
      <c r="E72" s="317"/>
      <c r="F72" s="317"/>
      <c r="G72" s="317"/>
      <c r="H72" s="317"/>
      <c r="I72" s="317"/>
      <c r="J72" s="317"/>
      <c r="K72" s="317"/>
      <c r="L72" s="317"/>
      <c r="M72" s="317"/>
      <c r="N72" s="317"/>
      <c r="O72" s="317"/>
      <c r="P72" s="317"/>
      <c r="Q72" s="317"/>
      <c r="R72" s="317"/>
      <c r="S72" s="317"/>
    </row>
    <row r="73" spans="2:23" ht="55.5" customHeight="1" x14ac:dyDescent="0.25">
      <c r="B73" s="317"/>
      <c r="C73" s="317"/>
      <c r="D73" s="317"/>
      <c r="E73" s="317"/>
      <c r="F73" s="317"/>
      <c r="G73" s="317"/>
      <c r="H73" s="317"/>
      <c r="I73" s="317"/>
      <c r="J73" s="317"/>
      <c r="K73" s="317"/>
      <c r="L73" s="317"/>
      <c r="M73" s="317"/>
      <c r="N73" s="317"/>
      <c r="O73" s="317"/>
      <c r="P73" s="317"/>
      <c r="Q73" s="317"/>
      <c r="R73" s="317"/>
      <c r="S73" s="317"/>
    </row>
    <row r="74" spans="2:23" s="24" customFormat="1" ht="71.25" customHeight="1" x14ac:dyDescent="0.25">
      <c r="B74" s="42"/>
      <c r="C74" s="42"/>
      <c r="D74" s="42"/>
      <c r="E74" s="42"/>
      <c r="F74" s="42"/>
      <c r="G74" s="42"/>
      <c r="H74" s="42"/>
      <c r="I74" s="42"/>
      <c r="J74" s="42"/>
      <c r="K74" s="42"/>
      <c r="L74" s="42"/>
      <c r="M74" s="42"/>
      <c r="N74" s="42"/>
      <c r="O74" s="42"/>
      <c r="P74" s="42"/>
      <c r="Q74" s="329">
        <f ca="1">NOW()</f>
        <v>43052.714838425927</v>
      </c>
      <c r="R74" s="329"/>
      <c r="S74" s="329"/>
    </row>
    <row r="75" spans="2:23" s="24" customFormat="1" x14ac:dyDescent="0.25">
      <c r="B75" s="326">
        <f>$C$2</f>
        <v>0</v>
      </c>
      <c r="C75" s="327"/>
      <c r="D75" s="327"/>
      <c r="E75" s="327"/>
      <c r="F75" s="327"/>
      <c r="G75" s="327"/>
      <c r="H75" s="327"/>
      <c r="I75" s="327"/>
      <c r="J75" s="327"/>
      <c r="K75" s="327"/>
      <c r="L75" s="327"/>
      <c r="M75" s="327"/>
      <c r="N75" s="327"/>
      <c r="O75" s="327"/>
      <c r="P75" s="327"/>
      <c r="Q75" s="327"/>
      <c r="R75" s="327"/>
      <c r="S75" s="328"/>
    </row>
    <row r="76" spans="2:23" x14ac:dyDescent="0.25">
      <c r="B76" s="325" t="str">
        <f>'adv shuffle'!N9</f>
        <v/>
      </c>
      <c r="C76" s="325"/>
      <c r="D76" s="325"/>
      <c r="E76" s="41"/>
      <c r="F76" s="41"/>
      <c r="G76" s="41"/>
      <c r="H76" s="41"/>
      <c r="I76" s="41"/>
      <c r="J76" s="41"/>
      <c r="K76" s="41"/>
      <c r="L76" s="41"/>
      <c r="M76" s="41"/>
      <c r="N76" s="41"/>
      <c r="O76" s="41"/>
      <c r="P76" s="41"/>
      <c r="Q76" s="41"/>
      <c r="R76" s="41"/>
      <c r="S76" s="41"/>
    </row>
    <row r="77" spans="2:23" x14ac:dyDescent="0.25">
      <c r="B77" s="317" t="str">
        <f>IF(B76&lt;&gt;"",VLOOKUP(B76,advantages!$C$6:$I$135,7),"")</f>
        <v/>
      </c>
      <c r="C77" s="317"/>
      <c r="D77" s="317"/>
      <c r="E77" s="317"/>
      <c r="F77" s="317"/>
      <c r="G77" s="317"/>
      <c r="H77" s="317"/>
      <c r="I77" s="317"/>
      <c r="J77" s="317"/>
      <c r="K77" s="317"/>
      <c r="L77" s="317"/>
      <c r="M77" s="317"/>
      <c r="N77" s="317"/>
      <c r="O77" s="317"/>
      <c r="P77" s="317"/>
      <c r="Q77" s="317"/>
      <c r="R77" s="317"/>
      <c r="S77" s="317"/>
    </row>
    <row r="78" spans="2:23" ht="55.5" customHeight="1" x14ac:dyDescent="0.25">
      <c r="B78" s="317"/>
      <c r="C78" s="317"/>
      <c r="D78" s="317"/>
      <c r="E78" s="317"/>
      <c r="F78" s="317"/>
      <c r="G78" s="317"/>
      <c r="H78" s="317"/>
      <c r="I78" s="317"/>
      <c r="J78" s="317"/>
      <c r="K78" s="317"/>
      <c r="L78" s="317"/>
      <c r="M78" s="317"/>
      <c r="N78" s="317"/>
      <c r="O78" s="317"/>
      <c r="P78" s="317"/>
      <c r="Q78" s="317"/>
      <c r="R78" s="317"/>
      <c r="S78" s="317"/>
    </row>
    <row r="79" spans="2:23" x14ac:dyDescent="0.25">
      <c r="B79" s="325" t="str">
        <f>'adv shuffle'!N10</f>
        <v/>
      </c>
      <c r="C79" s="325"/>
      <c r="D79" s="325"/>
      <c r="E79" s="41"/>
      <c r="F79" s="41"/>
      <c r="G79" s="41"/>
      <c r="H79" s="41"/>
      <c r="I79" s="41"/>
      <c r="J79" s="41"/>
      <c r="K79" s="41"/>
      <c r="L79" s="41"/>
      <c r="M79" s="41"/>
      <c r="N79" s="41"/>
      <c r="O79" s="41"/>
      <c r="P79" s="41"/>
      <c r="Q79" s="41"/>
      <c r="R79" s="41"/>
      <c r="S79" s="41"/>
    </row>
    <row r="80" spans="2:23" x14ac:dyDescent="0.25">
      <c r="B80" s="317" t="str">
        <f>IF(B79&lt;&gt;"",VLOOKUP(B79,advantages!$C$6:$I$135,7),"")</f>
        <v/>
      </c>
      <c r="C80" s="317"/>
      <c r="D80" s="317"/>
      <c r="E80" s="317"/>
      <c r="F80" s="317"/>
      <c r="G80" s="317"/>
      <c r="H80" s="317"/>
      <c r="I80" s="317"/>
      <c r="J80" s="317"/>
      <c r="K80" s="317"/>
      <c r="L80" s="317"/>
      <c r="M80" s="317"/>
      <c r="N80" s="317"/>
      <c r="O80" s="317"/>
      <c r="P80" s="317"/>
      <c r="Q80" s="317"/>
      <c r="R80" s="317"/>
      <c r="S80" s="317"/>
    </row>
    <row r="81" spans="2:19" ht="55.5" customHeight="1" x14ac:dyDescent="0.25">
      <c r="B81" s="317"/>
      <c r="C81" s="317"/>
      <c r="D81" s="317"/>
      <c r="E81" s="317"/>
      <c r="F81" s="317"/>
      <c r="G81" s="317"/>
      <c r="H81" s="317"/>
      <c r="I81" s="317"/>
      <c r="J81" s="317"/>
      <c r="K81" s="317"/>
      <c r="L81" s="317"/>
      <c r="M81" s="317"/>
      <c r="N81" s="317"/>
      <c r="O81" s="317"/>
      <c r="P81" s="317"/>
      <c r="Q81" s="317"/>
      <c r="R81" s="317"/>
      <c r="S81" s="317"/>
    </row>
    <row r="82" spans="2:19" x14ac:dyDescent="0.25">
      <c r="B82" s="325" t="str">
        <f>'adv shuffle'!N11</f>
        <v/>
      </c>
      <c r="C82" s="325"/>
      <c r="D82" s="325"/>
      <c r="E82" s="41"/>
      <c r="F82" s="41"/>
      <c r="G82" s="41"/>
      <c r="H82" s="41"/>
      <c r="I82" s="41"/>
      <c r="J82" s="41"/>
      <c r="K82" s="41"/>
      <c r="L82" s="41"/>
      <c r="M82" s="41"/>
      <c r="N82" s="41"/>
      <c r="O82" s="41"/>
      <c r="P82" s="41"/>
      <c r="Q82" s="41"/>
      <c r="R82" s="41"/>
      <c r="S82" s="41"/>
    </row>
    <row r="83" spans="2:19" x14ac:dyDescent="0.25">
      <c r="B83" s="317" t="str">
        <f>IF(B82&lt;&gt;"",VLOOKUP(B82,advantages!$C$6:$I$135,7),"")</f>
        <v/>
      </c>
      <c r="C83" s="317"/>
      <c r="D83" s="317"/>
      <c r="E83" s="317"/>
      <c r="F83" s="317"/>
      <c r="G83" s="317"/>
      <c r="H83" s="317"/>
      <c r="I83" s="317"/>
      <c r="J83" s="317"/>
      <c r="K83" s="317"/>
      <c r="L83" s="317"/>
      <c r="M83" s="317"/>
      <c r="N83" s="317"/>
      <c r="O83" s="317"/>
      <c r="P83" s="317"/>
      <c r="Q83" s="317"/>
      <c r="R83" s="317"/>
      <c r="S83" s="317"/>
    </row>
    <row r="84" spans="2:19" ht="55.5" customHeight="1" x14ac:dyDescent="0.25">
      <c r="B84" s="317"/>
      <c r="C84" s="317"/>
      <c r="D84" s="317"/>
      <c r="E84" s="317"/>
      <c r="F84" s="317"/>
      <c r="G84" s="317"/>
      <c r="H84" s="317"/>
      <c r="I84" s="317"/>
      <c r="J84" s="317"/>
      <c r="K84" s="317"/>
      <c r="L84" s="317"/>
      <c r="M84" s="317"/>
      <c r="N84" s="317"/>
      <c r="O84" s="317"/>
      <c r="P84" s="317"/>
      <c r="Q84" s="317"/>
      <c r="R84" s="317"/>
      <c r="S84" s="317"/>
    </row>
    <row r="85" spans="2:19" x14ac:dyDescent="0.25">
      <c r="B85" s="325" t="str">
        <f>'adv shuffle'!N12</f>
        <v/>
      </c>
      <c r="C85" s="325"/>
      <c r="D85" s="325"/>
      <c r="E85" s="41"/>
      <c r="F85" s="41"/>
      <c r="G85" s="41"/>
      <c r="H85" s="41"/>
      <c r="I85" s="41"/>
      <c r="J85" s="41"/>
      <c r="K85" s="41"/>
      <c r="L85" s="41"/>
      <c r="M85" s="41"/>
      <c r="N85" s="41"/>
      <c r="O85" s="41"/>
      <c r="P85" s="41"/>
      <c r="Q85" s="41"/>
      <c r="R85" s="41"/>
      <c r="S85" s="41"/>
    </row>
    <row r="86" spans="2:19" x14ac:dyDescent="0.25">
      <c r="B86" s="317" t="str">
        <f>IF(B85&lt;&gt;"",VLOOKUP(B85,advantages!$C$6:$I$135,7),"")</f>
        <v/>
      </c>
      <c r="C86" s="317"/>
      <c r="D86" s="317"/>
      <c r="E86" s="317"/>
      <c r="F86" s="317"/>
      <c r="G86" s="317"/>
      <c r="H86" s="317"/>
      <c r="I86" s="317"/>
      <c r="J86" s="317"/>
      <c r="K86" s="317"/>
      <c r="L86" s="317"/>
      <c r="M86" s="317"/>
      <c r="N86" s="317"/>
      <c r="O86" s="317"/>
      <c r="P86" s="317"/>
      <c r="Q86" s="317"/>
      <c r="R86" s="317"/>
      <c r="S86" s="317"/>
    </row>
    <row r="87" spans="2:19" ht="55.5" customHeight="1" x14ac:dyDescent="0.25">
      <c r="B87" s="317"/>
      <c r="C87" s="317"/>
      <c r="D87" s="317"/>
      <c r="E87" s="317"/>
      <c r="F87" s="317"/>
      <c r="G87" s="317"/>
      <c r="H87" s="317"/>
      <c r="I87" s="317"/>
      <c r="J87" s="317"/>
      <c r="K87" s="317"/>
      <c r="L87" s="317"/>
      <c r="M87" s="317"/>
      <c r="N87" s="317"/>
      <c r="O87" s="317"/>
      <c r="P87" s="317"/>
      <c r="Q87" s="317"/>
      <c r="R87" s="317"/>
      <c r="S87" s="317"/>
    </row>
    <row r="88" spans="2:19" x14ac:dyDescent="0.25">
      <c r="B88" s="325" t="str">
        <f>'adv shuffle'!N13</f>
        <v/>
      </c>
      <c r="C88" s="325"/>
      <c r="D88" s="325"/>
      <c r="E88" s="41"/>
      <c r="F88" s="41"/>
      <c r="G88" s="41"/>
      <c r="H88" s="41"/>
      <c r="I88" s="41"/>
      <c r="J88" s="41"/>
      <c r="K88" s="41"/>
      <c r="L88" s="41"/>
      <c r="M88" s="41"/>
      <c r="N88" s="41"/>
      <c r="O88" s="41"/>
      <c r="P88" s="41"/>
      <c r="Q88" s="41"/>
      <c r="R88" s="41"/>
      <c r="S88" s="41"/>
    </row>
    <row r="89" spans="2:19" x14ac:dyDescent="0.25">
      <c r="B89" s="317" t="str">
        <f>IF(B88&lt;&gt;"",VLOOKUP(B88,advantages!$C$6:$I$135,7),"")</f>
        <v/>
      </c>
      <c r="C89" s="317"/>
      <c r="D89" s="317"/>
      <c r="E89" s="317"/>
      <c r="F89" s="317"/>
      <c r="G89" s="317"/>
      <c r="H89" s="317"/>
      <c r="I89" s="317"/>
      <c r="J89" s="317"/>
      <c r="K89" s="317"/>
      <c r="L89" s="317"/>
      <c r="M89" s="317"/>
      <c r="N89" s="317"/>
      <c r="O89" s="317"/>
      <c r="P89" s="317"/>
      <c r="Q89" s="317"/>
      <c r="R89" s="317"/>
      <c r="S89" s="317"/>
    </row>
    <row r="90" spans="2:19" ht="55.5" customHeight="1" x14ac:dyDescent="0.25">
      <c r="B90" s="317"/>
      <c r="C90" s="317"/>
      <c r="D90" s="317"/>
      <c r="E90" s="317"/>
      <c r="F90" s="317"/>
      <c r="G90" s="317"/>
      <c r="H90" s="317"/>
      <c r="I90" s="317"/>
      <c r="J90" s="317"/>
      <c r="K90" s="317"/>
      <c r="L90" s="317"/>
      <c r="M90" s="317"/>
      <c r="N90" s="317"/>
      <c r="O90" s="317"/>
      <c r="P90" s="317"/>
      <c r="Q90" s="317"/>
      <c r="R90" s="317"/>
      <c r="S90" s="317"/>
    </row>
    <row r="91" spans="2:19" x14ac:dyDescent="0.25">
      <c r="B91" s="325" t="str">
        <f>'adv shuffle'!N14</f>
        <v/>
      </c>
      <c r="C91" s="325"/>
      <c r="D91" s="325"/>
      <c r="E91" s="41"/>
      <c r="F91" s="41"/>
      <c r="G91" s="41"/>
      <c r="H91" s="41"/>
      <c r="I91" s="41"/>
      <c r="J91" s="41"/>
      <c r="K91" s="41"/>
      <c r="L91" s="41"/>
      <c r="M91" s="41"/>
      <c r="N91" s="41"/>
      <c r="O91" s="41"/>
      <c r="P91" s="41"/>
      <c r="Q91" s="41"/>
      <c r="R91" s="41"/>
      <c r="S91" s="41"/>
    </row>
    <row r="92" spans="2:19" x14ac:dyDescent="0.25">
      <c r="B92" s="317" t="str">
        <f>IF(B91&lt;&gt;"",VLOOKUP(B91,advantages!$C$6:$I$135,7),"")</f>
        <v/>
      </c>
      <c r="C92" s="317"/>
      <c r="D92" s="317"/>
      <c r="E92" s="317"/>
      <c r="F92" s="317"/>
      <c r="G92" s="317"/>
      <c r="H92" s="317"/>
      <c r="I92" s="317"/>
      <c r="J92" s="317"/>
      <c r="K92" s="317"/>
      <c r="L92" s="317"/>
      <c r="M92" s="317"/>
      <c r="N92" s="317"/>
      <c r="O92" s="317"/>
      <c r="P92" s="317"/>
      <c r="Q92" s="317"/>
      <c r="R92" s="317"/>
      <c r="S92" s="317"/>
    </row>
    <row r="93" spans="2:19" ht="55.5" customHeight="1" x14ac:dyDescent="0.25">
      <c r="B93" s="317"/>
      <c r="C93" s="317"/>
      <c r="D93" s="317"/>
      <c r="E93" s="317"/>
      <c r="F93" s="317"/>
      <c r="G93" s="317"/>
      <c r="H93" s="317"/>
      <c r="I93" s="317"/>
      <c r="J93" s="317"/>
      <c r="K93" s="317"/>
      <c r="L93" s="317"/>
      <c r="M93" s="317"/>
      <c r="N93" s="317"/>
      <c r="O93" s="317"/>
      <c r="P93" s="317"/>
      <c r="Q93" s="317"/>
      <c r="R93" s="317"/>
      <c r="S93" s="317"/>
    </row>
    <row r="94" spans="2:19" x14ac:dyDescent="0.25">
      <c r="B94" s="325" t="str">
        <f>'adv shuffle'!N15</f>
        <v/>
      </c>
      <c r="C94" s="325"/>
      <c r="D94" s="325"/>
      <c r="E94" s="41"/>
      <c r="F94" s="41"/>
      <c r="G94" s="41"/>
      <c r="H94" s="41"/>
      <c r="I94" s="41"/>
      <c r="J94" s="41"/>
      <c r="K94" s="41"/>
      <c r="L94" s="41"/>
      <c r="M94" s="41"/>
      <c r="N94" s="41"/>
      <c r="O94" s="41"/>
      <c r="P94" s="41"/>
      <c r="Q94" s="41"/>
      <c r="R94" s="41"/>
      <c r="S94" s="41"/>
    </row>
    <row r="95" spans="2:19" x14ac:dyDescent="0.25">
      <c r="B95" s="317" t="str">
        <f>IF(B94&lt;&gt;"",VLOOKUP(B94,advantages!$C$6:$I$135,7),"")</f>
        <v/>
      </c>
      <c r="C95" s="317"/>
      <c r="D95" s="317"/>
      <c r="E95" s="317"/>
      <c r="F95" s="317"/>
      <c r="G95" s="317"/>
      <c r="H95" s="317"/>
      <c r="I95" s="317"/>
      <c r="J95" s="317"/>
      <c r="K95" s="317"/>
      <c r="L95" s="317"/>
      <c r="M95" s="317"/>
      <c r="N95" s="317"/>
      <c r="O95" s="317"/>
      <c r="P95" s="317"/>
      <c r="Q95" s="317"/>
      <c r="R95" s="317"/>
      <c r="S95" s="317"/>
    </row>
    <row r="96" spans="2:19" ht="55.5" customHeight="1" x14ac:dyDescent="0.25">
      <c r="B96" s="317"/>
      <c r="C96" s="317"/>
      <c r="D96" s="317"/>
      <c r="E96" s="317"/>
      <c r="F96" s="317"/>
      <c r="G96" s="317"/>
      <c r="H96" s="317"/>
      <c r="I96" s="317"/>
      <c r="J96" s="317"/>
      <c r="K96" s="317"/>
      <c r="L96" s="317"/>
      <c r="M96" s="317"/>
      <c r="N96" s="317"/>
      <c r="O96" s="317"/>
      <c r="P96" s="317"/>
      <c r="Q96" s="317"/>
      <c r="R96" s="317"/>
      <c r="S96" s="317"/>
    </row>
    <row r="97" spans="1:20" s="24" customFormat="1" ht="3.75" customHeight="1" x14ac:dyDescent="0.25">
      <c r="B97" s="42"/>
      <c r="C97" s="42"/>
      <c r="D97" s="42"/>
      <c r="E97" s="42"/>
      <c r="F97" s="42"/>
      <c r="G97" s="42"/>
      <c r="H97" s="42"/>
      <c r="I97" s="42"/>
      <c r="J97" s="42"/>
      <c r="K97" s="42"/>
      <c r="L97" s="42"/>
      <c r="M97" s="42"/>
      <c r="N97" s="42"/>
      <c r="O97" s="42"/>
      <c r="P97" s="42"/>
      <c r="Q97" s="42"/>
      <c r="R97" s="42"/>
      <c r="S97" s="42"/>
    </row>
    <row r="98" spans="1:20" x14ac:dyDescent="0.25">
      <c r="B98" s="317" t="str">
        <f>IF(advantages!D137=1,advantages!F137,IF(advantages!D138=1,CONCATENATE("Dark Gift Monster Quality: ",builder!F68,".  ",builder!F69),""))</f>
        <v/>
      </c>
      <c r="C98" s="317"/>
      <c r="D98" s="317"/>
      <c r="E98" s="317"/>
      <c r="F98" s="317"/>
      <c r="G98" s="317"/>
      <c r="H98" s="317"/>
      <c r="I98" s="317"/>
      <c r="J98" s="317"/>
      <c r="K98" s="317"/>
      <c r="L98" s="317"/>
      <c r="M98" s="317"/>
      <c r="N98" s="317"/>
      <c r="O98" s="317"/>
      <c r="P98" s="317"/>
      <c r="Q98" s="317"/>
      <c r="R98" s="317"/>
      <c r="S98" s="317"/>
    </row>
    <row r="99" spans="1:20" ht="54.75" customHeight="1" x14ac:dyDescent="0.25">
      <c r="B99" s="317"/>
      <c r="C99" s="317"/>
      <c r="D99" s="317"/>
      <c r="E99" s="317"/>
      <c r="F99" s="317"/>
      <c r="G99" s="317"/>
      <c r="H99" s="317"/>
      <c r="I99" s="317"/>
      <c r="J99" s="317"/>
      <c r="K99" s="317"/>
      <c r="L99" s="317"/>
      <c r="M99" s="317"/>
      <c r="N99" s="317"/>
      <c r="O99" s="317"/>
      <c r="P99" s="317"/>
      <c r="Q99" s="317"/>
      <c r="R99" s="317"/>
      <c r="S99" s="317"/>
    </row>
    <row r="100" spans="1:20" ht="15.75" thickBot="1" x14ac:dyDescent="0.3">
      <c r="Q100" s="329">
        <f ca="1">NOW()</f>
        <v>43052.714838425927</v>
      </c>
      <c r="R100" s="329"/>
      <c r="S100" s="329"/>
    </row>
    <row r="101" spans="1:20" ht="15.75" thickBot="1" x14ac:dyDescent="0.3">
      <c r="B101" s="364">
        <f>$C$2</f>
        <v>0</v>
      </c>
      <c r="C101" s="365"/>
      <c r="D101" s="365"/>
      <c r="E101" s="365"/>
      <c r="F101" s="365"/>
      <c r="G101" s="365"/>
      <c r="H101" s="365"/>
      <c r="I101" s="365"/>
      <c r="J101" s="365"/>
      <c r="K101" s="365"/>
      <c r="L101" s="365"/>
      <c r="M101" s="365"/>
      <c r="N101" s="365"/>
      <c r="O101" s="365"/>
      <c r="P101" s="365"/>
      <c r="Q101" s="365"/>
      <c r="R101" s="365"/>
      <c r="S101" s="366"/>
    </row>
    <row r="102" spans="1:20" s="24" customFormat="1" ht="4.5" customHeight="1" x14ac:dyDescent="0.25">
      <c r="A102" s="25"/>
      <c r="B102" s="64"/>
      <c r="C102" s="64"/>
      <c r="D102" s="64"/>
      <c r="E102" s="64"/>
      <c r="F102" s="64"/>
      <c r="G102" s="64"/>
      <c r="H102" s="64"/>
      <c r="I102" s="64"/>
      <c r="J102" s="64"/>
      <c r="K102" s="64"/>
      <c r="L102" s="64"/>
      <c r="M102" s="64"/>
      <c r="N102" s="64"/>
      <c r="O102" s="64"/>
      <c r="P102" s="64"/>
      <c r="Q102" s="64"/>
      <c r="R102" s="64"/>
      <c r="S102" s="64"/>
      <c r="T102" s="25"/>
    </row>
    <row r="103" spans="1:20" x14ac:dyDescent="0.25">
      <c r="B103" s="336" t="s">
        <v>617</v>
      </c>
      <c r="C103" s="337"/>
      <c r="D103" s="337"/>
      <c r="E103" s="337"/>
      <c r="F103" s="337"/>
      <c r="G103" s="337"/>
      <c r="H103" s="337"/>
      <c r="I103" s="337"/>
      <c r="J103" s="337"/>
      <c r="K103" s="337"/>
      <c r="L103" s="337"/>
      <c r="M103" s="337"/>
      <c r="N103" s="337"/>
      <c r="O103" s="337"/>
      <c r="P103" s="337"/>
      <c r="Q103" s="337"/>
      <c r="R103" s="337"/>
      <c r="S103" s="338"/>
    </row>
    <row r="104" spans="1:20" x14ac:dyDescent="0.25">
      <c r="B104" s="25" t="str">
        <f>IF('adv shuffle'!P31&lt;&gt;"",'adv shuffle'!P31,"")</f>
        <v/>
      </c>
      <c r="D104" s="25" t="str">
        <f>IF(B104&lt;&gt;"",VLOOKUP(B104,styles!$B$3:$D$25,2),"")</f>
        <v/>
      </c>
      <c r="E104" s="25"/>
      <c r="F104" s="25"/>
      <c r="G104" s="25"/>
      <c r="H104" s="25"/>
      <c r="I104" s="25"/>
      <c r="J104" s="25"/>
      <c r="K104" s="25"/>
      <c r="L104" s="25"/>
      <c r="M104" s="25"/>
      <c r="N104" s="25"/>
      <c r="O104" s="25"/>
      <c r="P104" s="25"/>
      <c r="Q104" s="25"/>
      <c r="R104" s="25"/>
      <c r="S104" s="25"/>
    </row>
    <row r="105" spans="1:20" ht="60" customHeight="1" x14ac:dyDescent="0.25">
      <c r="B105" s="355" t="str">
        <f>IF(B104&lt;&gt;"",VLOOKUP(B104,styles!$B$3:$D$25,3),"")</f>
        <v/>
      </c>
      <c r="C105" s="355"/>
      <c r="D105" s="355"/>
      <c r="E105" s="355"/>
      <c r="F105" s="355"/>
      <c r="G105" s="355"/>
      <c r="H105" s="355"/>
      <c r="I105" s="355"/>
      <c r="J105" s="355"/>
      <c r="K105" s="355"/>
      <c r="L105" s="355"/>
      <c r="M105" s="355"/>
      <c r="N105" s="355"/>
      <c r="O105" s="355"/>
      <c r="P105" s="355"/>
      <c r="Q105" s="355"/>
      <c r="R105" s="355"/>
      <c r="S105" s="355"/>
    </row>
    <row r="106" spans="1:20" ht="4.5" customHeight="1" x14ac:dyDescent="0.25">
      <c r="B106" s="62"/>
      <c r="C106" s="62"/>
      <c r="D106" s="62"/>
      <c r="E106" s="62"/>
      <c r="F106" s="62"/>
      <c r="G106" s="62"/>
      <c r="H106" s="62"/>
      <c r="I106" s="62"/>
      <c r="J106" s="62"/>
      <c r="K106" s="62"/>
      <c r="L106" s="62"/>
      <c r="M106" s="62"/>
      <c r="N106" s="62"/>
      <c r="O106" s="62"/>
      <c r="P106" s="62"/>
      <c r="Q106" s="62"/>
      <c r="R106" s="62"/>
      <c r="S106" s="62"/>
    </row>
    <row r="107" spans="1:20" x14ac:dyDescent="0.25">
      <c r="B107" s="25" t="str">
        <f>IF('adv shuffle'!P32&lt;&gt;"",'adv shuffle'!P32,"")</f>
        <v/>
      </c>
      <c r="D107" s="25" t="str">
        <f>IF(B107&lt;&gt;"",VLOOKUP(B107,styles!$B$3:$D$25,2),"")</f>
        <v/>
      </c>
      <c r="E107" s="62"/>
      <c r="F107" s="62"/>
      <c r="G107" s="62"/>
      <c r="H107" s="62"/>
      <c r="I107" s="62"/>
      <c r="J107" s="62"/>
      <c r="K107" s="62"/>
      <c r="L107" s="62"/>
      <c r="M107" s="62"/>
      <c r="N107" s="62"/>
      <c r="O107" s="62"/>
      <c r="P107" s="62"/>
      <c r="Q107" s="62"/>
      <c r="R107" s="62"/>
      <c r="S107" s="62"/>
    </row>
    <row r="108" spans="1:20" ht="60" customHeight="1" x14ac:dyDescent="0.25">
      <c r="B108" s="355" t="str">
        <f>IF(B107&lt;&gt;"",VLOOKUP(B107,styles!$B$3:$D$25,3),"")</f>
        <v/>
      </c>
      <c r="C108" s="355"/>
      <c r="D108" s="355"/>
      <c r="E108" s="355"/>
      <c r="F108" s="355"/>
      <c r="G108" s="355"/>
      <c r="H108" s="355"/>
      <c r="I108" s="355"/>
      <c r="J108" s="355"/>
      <c r="K108" s="355"/>
      <c r="L108" s="355"/>
      <c r="M108" s="355"/>
      <c r="N108" s="355"/>
      <c r="O108" s="355"/>
      <c r="P108" s="355"/>
      <c r="Q108" s="355"/>
      <c r="R108" s="355"/>
      <c r="S108" s="355"/>
    </row>
    <row r="109" spans="1:20" ht="4.5" customHeight="1" x14ac:dyDescent="0.25">
      <c r="B109" s="25"/>
      <c r="C109" s="25"/>
      <c r="D109" s="25"/>
      <c r="E109" s="25"/>
      <c r="F109" s="25"/>
      <c r="G109" s="25"/>
      <c r="H109" s="25"/>
      <c r="I109" s="25"/>
      <c r="J109" s="25"/>
      <c r="K109" s="25"/>
      <c r="L109" s="25"/>
      <c r="M109" s="25"/>
      <c r="N109" s="25"/>
      <c r="O109" s="25"/>
      <c r="P109" s="25"/>
      <c r="Q109" s="25"/>
      <c r="R109" s="25"/>
      <c r="S109" s="25"/>
    </row>
    <row r="110" spans="1:20" x14ac:dyDescent="0.25">
      <c r="B110" s="25" t="str">
        <f>IF('adv shuffle'!P33&lt;&gt;"",'adv shuffle'!P33,"")</f>
        <v/>
      </c>
      <c r="D110" s="25" t="str">
        <f>IF(B110&lt;&gt;"",VLOOKUP(B110,styles!$B$3:$D$25,2),"")</f>
        <v/>
      </c>
      <c r="E110" s="25"/>
      <c r="F110" s="25"/>
      <c r="G110" s="25"/>
      <c r="H110" s="25"/>
      <c r="I110" s="25"/>
      <c r="J110" s="25"/>
      <c r="K110" s="25"/>
      <c r="L110" s="25"/>
      <c r="M110" s="25"/>
      <c r="N110" s="25"/>
      <c r="O110" s="25"/>
      <c r="P110" s="25"/>
      <c r="Q110" s="25"/>
      <c r="R110" s="25"/>
      <c r="S110" s="25"/>
    </row>
    <row r="111" spans="1:20" ht="60" customHeight="1" x14ac:dyDescent="0.25">
      <c r="B111" s="355" t="str">
        <f>IF(B110&lt;&gt;"",VLOOKUP(B110,styles!$B$3:$D$25,3),"")</f>
        <v/>
      </c>
      <c r="C111" s="355"/>
      <c r="D111" s="355"/>
      <c r="E111" s="355"/>
      <c r="F111" s="355"/>
      <c r="G111" s="355"/>
      <c r="H111" s="355"/>
      <c r="I111" s="355"/>
      <c r="J111" s="355"/>
      <c r="K111" s="355"/>
      <c r="L111" s="355"/>
      <c r="M111" s="355"/>
      <c r="N111" s="355"/>
      <c r="O111" s="355"/>
      <c r="P111" s="355"/>
      <c r="Q111" s="355"/>
      <c r="R111" s="355"/>
      <c r="S111" s="355"/>
    </row>
    <row r="112" spans="1:20" ht="4.5" customHeight="1" x14ac:dyDescent="0.25">
      <c r="B112" s="25"/>
      <c r="C112" s="25"/>
      <c r="D112" s="25"/>
      <c r="E112" s="25"/>
      <c r="F112" s="25"/>
      <c r="G112" s="25"/>
      <c r="H112" s="25"/>
      <c r="I112" s="25"/>
      <c r="J112" s="25"/>
      <c r="K112" s="25"/>
      <c r="L112" s="25"/>
      <c r="M112" s="25"/>
      <c r="N112" s="25"/>
      <c r="O112" s="25"/>
      <c r="P112" s="25"/>
      <c r="Q112" s="25"/>
      <c r="R112" s="25"/>
      <c r="S112" s="25"/>
    </row>
    <row r="113" spans="2:22" x14ac:dyDescent="0.25">
      <c r="B113" s="25" t="str">
        <f>IF(OR($B$104=styles!$B$9,$B$107=styles!$B$9,$B$110=styles!$B$9),styles!$C$27,"")</f>
        <v/>
      </c>
      <c r="C113" s="25"/>
      <c r="D113" s="25"/>
      <c r="E113" s="25"/>
      <c r="F113" s="25"/>
      <c r="G113" s="25"/>
      <c r="H113" s="25"/>
      <c r="I113" s="25"/>
      <c r="J113" s="25"/>
      <c r="K113" s="25"/>
      <c r="L113" s="25"/>
      <c r="M113" s="25"/>
      <c r="N113" s="25"/>
      <c r="O113" s="25"/>
      <c r="P113" s="25"/>
      <c r="Q113" s="25"/>
      <c r="R113" s="25"/>
      <c r="S113" s="25"/>
    </row>
    <row r="114" spans="2:22" ht="40.5" customHeight="1" x14ac:dyDescent="0.25">
      <c r="B114" s="363" t="str">
        <f>IF(B113&lt;&gt;"",styles!D27,"")</f>
        <v/>
      </c>
      <c r="C114" s="363"/>
      <c r="D114" s="363"/>
      <c r="E114" s="363"/>
      <c r="F114" s="363"/>
      <c r="G114" s="363"/>
      <c r="H114" s="363"/>
      <c r="I114" s="363"/>
      <c r="J114" s="363"/>
      <c r="K114" s="363"/>
      <c r="L114" s="363"/>
      <c r="M114" s="363"/>
      <c r="N114" s="363"/>
      <c r="O114" s="363"/>
      <c r="P114" s="363"/>
      <c r="Q114" s="363"/>
      <c r="R114" s="363"/>
      <c r="S114" s="363"/>
    </row>
    <row r="115" spans="2:22" x14ac:dyDescent="0.25">
      <c r="B115" s="25" t="str">
        <f>IF(OR($B$104=styles!$B$9,$B$107=styles!$B$9,$B$110=styles!$B$9),styles!$C$28,"")</f>
        <v/>
      </c>
      <c r="C115" s="25"/>
      <c r="D115" s="25"/>
      <c r="E115" s="25"/>
      <c r="F115" s="25"/>
      <c r="G115" s="25"/>
      <c r="H115" s="25"/>
      <c r="I115" s="25"/>
      <c r="J115" s="25"/>
      <c r="K115" s="25"/>
      <c r="L115" s="25"/>
      <c r="M115" s="25"/>
      <c r="N115" s="25"/>
      <c r="O115" s="25"/>
      <c r="P115" s="25"/>
      <c r="Q115" s="25"/>
      <c r="R115" s="25"/>
      <c r="S115" s="25"/>
    </row>
    <row r="116" spans="2:22" ht="39.75" customHeight="1" x14ac:dyDescent="0.25">
      <c r="B116" s="363" t="str">
        <f>IF(B115&lt;&gt;"",styles!D28,"")</f>
        <v/>
      </c>
      <c r="C116" s="363"/>
      <c r="D116" s="363"/>
      <c r="E116" s="363"/>
      <c r="F116" s="363"/>
      <c r="G116" s="363"/>
      <c r="H116" s="363"/>
      <c r="I116" s="363"/>
      <c r="J116" s="363"/>
      <c r="K116" s="363"/>
      <c r="L116" s="363"/>
      <c r="M116" s="363"/>
      <c r="N116" s="363"/>
      <c r="O116" s="363"/>
      <c r="P116" s="363"/>
      <c r="Q116" s="363"/>
      <c r="R116" s="363"/>
      <c r="S116" s="363"/>
    </row>
    <row r="117" spans="2:22" x14ac:dyDescent="0.25">
      <c r="B117" s="25" t="str">
        <f>IF(OR($B$104=styles!$B$9,$B$107=styles!$B$9,$B$110=styles!$B$9),styles!$C$29,"")</f>
        <v/>
      </c>
      <c r="C117" s="25"/>
      <c r="D117" s="25"/>
      <c r="E117" s="25"/>
      <c r="F117" s="25"/>
      <c r="G117" s="25"/>
      <c r="H117" s="25"/>
      <c r="I117" s="25"/>
      <c r="J117" s="25"/>
      <c r="K117" s="25"/>
      <c r="L117" s="25"/>
      <c r="M117" s="25"/>
      <c r="N117" s="25"/>
      <c r="O117" s="25"/>
      <c r="P117" s="25"/>
      <c r="Q117" s="25"/>
      <c r="R117" s="25"/>
      <c r="S117" s="25"/>
    </row>
    <row r="118" spans="2:22" ht="27.75" customHeight="1" x14ac:dyDescent="0.25">
      <c r="B118" s="363" t="str">
        <f>IF(B117&lt;&gt;"",styles!D29,"")</f>
        <v/>
      </c>
      <c r="C118" s="363"/>
      <c r="D118" s="363"/>
      <c r="E118" s="363"/>
      <c r="F118" s="363"/>
      <c r="G118" s="363"/>
      <c r="H118" s="363"/>
      <c r="I118" s="363"/>
      <c r="J118" s="363"/>
      <c r="K118" s="363"/>
      <c r="L118" s="363"/>
      <c r="M118" s="363"/>
      <c r="N118" s="363"/>
      <c r="O118" s="363"/>
      <c r="P118" s="363"/>
      <c r="Q118" s="363"/>
      <c r="R118" s="363"/>
      <c r="S118" s="363"/>
    </row>
    <row r="119" spans="2:22" s="24" customFormat="1" ht="15.75" thickBot="1" x14ac:dyDescent="0.3">
      <c r="B119" s="62"/>
      <c r="C119" s="62"/>
      <c r="D119" s="62"/>
      <c r="E119" s="62"/>
      <c r="F119" s="62"/>
      <c r="G119" s="62"/>
      <c r="H119" s="62"/>
      <c r="I119" s="62"/>
      <c r="J119" s="62"/>
      <c r="K119" s="62"/>
      <c r="L119" s="62"/>
      <c r="M119" s="62"/>
      <c r="N119" s="62"/>
      <c r="O119" s="62"/>
      <c r="P119" s="62"/>
      <c r="Q119" s="329">
        <f ca="1">NOW()</f>
        <v>43052.714838425927</v>
      </c>
      <c r="R119" s="329"/>
      <c r="S119" s="329"/>
    </row>
    <row r="120" spans="2:22" s="24" customFormat="1" ht="15.75" thickBot="1" x14ac:dyDescent="0.3">
      <c r="B120" s="364">
        <f>$C$2</f>
        <v>0</v>
      </c>
      <c r="C120" s="365"/>
      <c r="D120" s="365"/>
      <c r="E120" s="365"/>
      <c r="F120" s="365"/>
      <c r="G120" s="365"/>
      <c r="H120" s="365"/>
      <c r="I120" s="365"/>
      <c r="J120" s="365"/>
      <c r="K120" s="365"/>
      <c r="L120" s="365"/>
      <c r="M120" s="365"/>
      <c r="N120" s="365"/>
      <c r="O120" s="365"/>
      <c r="P120" s="365"/>
      <c r="Q120" s="365"/>
      <c r="R120" s="365"/>
      <c r="S120" s="366"/>
    </row>
    <row r="121" spans="2:22" s="24" customFormat="1" ht="4.5" customHeight="1" x14ac:dyDescent="0.25">
      <c r="B121" s="64"/>
      <c r="C121" s="64"/>
      <c r="D121" s="64"/>
      <c r="E121" s="64"/>
      <c r="F121" s="64"/>
      <c r="G121" s="64"/>
      <c r="H121" s="64"/>
      <c r="I121" s="64"/>
      <c r="J121" s="64"/>
      <c r="K121" s="64"/>
      <c r="L121" s="64"/>
      <c r="M121" s="64"/>
      <c r="N121" s="64"/>
      <c r="O121" s="64"/>
      <c r="P121" s="64"/>
      <c r="Q121" s="64"/>
      <c r="R121" s="64"/>
      <c r="S121" s="64"/>
    </row>
    <row r="122" spans="2:22" x14ac:dyDescent="0.25">
      <c r="B122" s="336" t="s">
        <v>194</v>
      </c>
      <c r="C122" s="337"/>
      <c r="D122" s="337"/>
      <c r="E122" s="337"/>
      <c r="F122" s="337"/>
      <c r="G122" s="337"/>
      <c r="H122" s="337"/>
      <c r="I122" s="337"/>
      <c r="J122" s="337"/>
      <c r="K122" s="337"/>
      <c r="L122" s="337"/>
      <c r="M122" s="337"/>
      <c r="N122" s="337"/>
      <c r="O122" s="337"/>
      <c r="P122" s="337"/>
      <c r="Q122" s="337"/>
      <c r="R122" s="337"/>
      <c r="S122" s="338"/>
      <c r="V122" s="192"/>
    </row>
    <row r="123" spans="2:22" ht="18.75" x14ac:dyDescent="0.3">
      <c r="B123" s="374" t="str">
        <f>builder!B112</f>
        <v/>
      </c>
      <c r="C123" s="374"/>
      <c r="D123" t="str">
        <f>IF($B$123=builder!$V$133,"Knight:",IF(builder!B112=builder!AC133,"Dievas:",""))</f>
        <v/>
      </c>
      <c r="E123" s="376" t="str">
        <f>IF($B$123=builder!$V$133,builder!B115,IF(builder!B112=builder!AC133,builder!I112,""))</f>
        <v/>
      </c>
      <c r="F123" s="376"/>
      <c r="G123" s="376"/>
      <c r="H123" s="376"/>
      <c r="I123" s="376"/>
      <c r="J123" s="376"/>
      <c r="K123" s="376"/>
      <c r="L123" s="376"/>
      <c r="M123" s="376"/>
      <c r="N123" s="376"/>
      <c r="O123" s="376"/>
      <c r="R123" s="37" t="str">
        <f>IF($B$123=builder!$V$133,"Major Trait:","")</f>
        <v/>
      </c>
      <c r="S123" s="24" t="str">
        <f>IF($B$123=builder!$V$133,builder!E115,"")</f>
        <v/>
      </c>
      <c r="V123" s="192"/>
    </row>
    <row r="124" spans="2:22" ht="15" customHeight="1" x14ac:dyDescent="0.25">
      <c r="B124" s="367" t="str">
        <f>IF($B$123=builder!$V$133,CONCATENATE("Virtue: ",builder!G115),"")</f>
        <v/>
      </c>
      <c r="C124" s="367"/>
      <c r="D124" s="318" t="str">
        <f>IF(builder!AC133=builder!B112,"Dievas type:","")</f>
        <v/>
      </c>
      <c r="E124" s="318"/>
      <c r="F124" s="379" t="str">
        <f>IF(builder!B112=builder!AC133,builder!B115,"")</f>
        <v/>
      </c>
      <c r="G124" s="379"/>
      <c r="H124" s="379"/>
      <c r="I124" s="379"/>
      <c r="J124" s="379"/>
      <c r="K124" s="379"/>
      <c r="L124" s="379"/>
      <c r="M124" s="379"/>
      <c r="N124" s="379"/>
      <c r="O124" s="379"/>
      <c r="R124" s="37" t="str">
        <f>IF($B$123=builder!$V$133,"Minor Trait:","")</f>
        <v/>
      </c>
      <c r="S124" s="24" t="str">
        <f>IF($B$123=builder!$V$133,builder!F115,"")</f>
        <v/>
      </c>
      <c r="V124" s="192"/>
    </row>
    <row r="125" spans="2:22" s="246" customFormat="1" ht="15" customHeight="1" x14ac:dyDescent="0.25">
      <c r="B125" s="367" t="str">
        <f>IF($B$123=builder!$V$133,CONCATENATE("Hubris: ",builder!I115),"")</f>
        <v/>
      </c>
      <c r="C125" s="367"/>
      <c r="D125" s="367"/>
      <c r="E125" s="244"/>
      <c r="R125" s="37"/>
    </row>
    <row r="126" spans="2:22" x14ac:dyDescent="0.25">
      <c r="B126" s="1" t="str">
        <f>IF(B123&lt;&gt;"",HLOOKUP(B123,builder!T133:AE151,16),"")</f>
        <v/>
      </c>
      <c r="D126" s="369" t="str">
        <f>IF(B123&lt;&gt;"",HLOOKUP($B$123,builder!T133:AE151,18),"--")</f>
        <v>--</v>
      </c>
      <c r="E126" s="369"/>
      <c r="F126" s="369"/>
      <c r="G126" s="369"/>
      <c r="H126" s="369"/>
      <c r="I126" s="369"/>
      <c r="J126" s="369"/>
      <c r="K126" s="369"/>
      <c r="L126" s="369"/>
      <c r="M126" s="369"/>
      <c r="N126" s="369"/>
      <c r="O126" s="369"/>
      <c r="P126" s="369"/>
      <c r="Q126" s="369"/>
      <c r="R126" s="369"/>
      <c r="S126" s="369"/>
      <c r="V126" s="192"/>
    </row>
    <row r="127" spans="2:22" x14ac:dyDescent="0.25">
      <c r="B127" s="377" t="str">
        <f>IF($B$123=builder!$U$133,B153,IF('adv shuffle'!K31&lt;&gt;"",'adv shuffle'!K31,""))</f>
        <v/>
      </c>
      <c r="C127" s="369"/>
      <c r="D127" s="369"/>
      <c r="E127" s="369"/>
      <c r="F127" s="369"/>
      <c r="G127" s="369"/>
      <c r="H127" s="369"/>
      <c r="I127" s="369"/>
      <c r="J127" s="369"/>
      <c r="K127" s="369"/>
      <c r="L127" s="369"/>
      <c r="M127" s="369"/>
      <c r="N127" s="369"/>
      <c r="O127" s="369"/>
      <c r="P127" s="10"/>
      <c r="Q127" s="10"/>
      <c r="R127" s="10"/>
      <c r="S127" s="10"/>
      <c r="V127" s="192"/>
    </row>
    <row r="128" spans="2:22" s="24" customFormat="1" ht="30" customHeight="1" x14ac:dyDescent="0.25">
      <c r="B128" s="370" t="str">
        <f>IF(B127&lt;&gt;"",IF($B$123=builder!$U$133,VLOOKUP(B127,styles!$G$137:$J$148,3),IF($B$123=builder!$AE$133,VLOOKUP(B127,styles!G106:H108,2),IF($B$123=builder!$W$133,VLOOKUP(B127,styles!$B$37:$E$47,4),IF($B$123=builder!$V$133,VLOOKUP(B127,styles!$J$64:$M$76,4),IF($B$123=builder!$Z$133,VLOOKUP(B127,styles!$B$106:$E$111,4),IF($B$123=builder!$AE$133,VLOOKUP(B127,styles!$D$87:$F$91,3),IF($B$123=builder!$X$133,VLOOKUP($B$127,styles!$B$114:$D$133,3),IF($B$123=builder!$AA$133,VLOOKUP($B127,styles!$I$114:$J$120,2),IF($B$123=builder!$Y$133,VLOOKUP($B127,styles!$N$114:$Q$119,3),""))))))))),"")</f>
        <v/>
      </c>
      <c r="C128" s="371"/>
      <c r="D128" s="313"/>
      <c r="E128" s="313"/>
      <c r="F128" s="313"/>
      <c r="G128" s="313"/>
      <c r="H128" s="313"/>
      <c r="I128" s="313"/>
      <c r="J128" s="313"/>
      <c r="K128" s="313"/>
      <c r="L128" s="313"/>
      <c r="M128" s="313"/>
      <c r="N128" s="313"/>
      <c r="O128" s="313"/>
      <c r="P128" s="313"/>
      <c r="Q128" s="313"/>
      <c r="R128" s="313"/>
      <c r="S128" s="314"/>
      <c r="V128" s="192"/>
    </row>
    <row r="129" spans="2:23" x14ac:dyDescent="0.25">
      <c r="B129" s="315" t="str">
        <f>IF($B$123=builder!$U$133,B155,IF('adv shuffle'!K32&lt;&gt;"",'adv shuffle'!K32,""))</f>
        <v/>
      </c>
      <c r="C129" s="316"/>
      <c r="D129" s="316"/>
      <c r="E129" s="316"/>
      <c r="F129" s="316"/>
      <c r="G129" s="316"/>
      <c r="H129" s="316"/>
      <c r="I129" s="316"/>
      <c r="J129" s="316"/>
      <c r="K129" s="316"/>
      <c r="L129" s="316"/>
      <c r="M129" s="316"/>
      <c r="N129" s="316"/>
      <c r="O129" s="316"/>
      <c r="P129" s="65"/>
      <c r="Q129" s="65"/>
      <c r="R129" s="65"/>
      <c r="S129" s="65"/>
      <c r="V129" s="192"/>
    </row>
    <row r="130" spans="2:23" s="24" customFormat="1" ht="30" customHeight="1" x14ac:dyDescent="0.25">
      <c r="B130" s="312" t="str">
        <f>IF(B129&lt;&gt;"",IF($B$123=builder!$U$133,VLOOKUP(B129,styles!$G$137:$J$148,3),IF($B$123=builder!$W$133,VLOOKUP(B129,styles!$B$37:$E$47,4),IF($B$123=builder!$V$133,VLOOKUP(B129,styles!$J$64:$M$76,4),IF($B$123=builder!$Z$133,VLOOKUP(B129,styles!$B$106:$E$111,4),IF($B$123=builder!$AE$133,VLOOKUP(B129,styles!$D$87:$F$91,3),IF($B$123=builder!$X$133,VLOOKUP($B$129,styles!$B$114:$D$133,3),IF($B$123=builder!$AA$133,VLOOKUP($B129,styles!$I$114:$J$120,2),IF($B$123=builder!$Y$133,VLOOKUP($B129,styles!$N$114:$Q$119,3),"")))))))),"")</f>
        <v/>
      </c>
      <c r="C130" s="313"/>
      <c r="D130" s="313"/>
      <c r="E130" s="313"/>
      <c r="F130" s="313"/>
      <c r="G130" s="313"/>
      <c r="H130" s="313"/>
      <c r="I130" s="313"/>
      <c r="J130" s="313"/>
      <c r="K130" s="313"/>
      <c r="L130" s="313"/>
      <c r="M130" s="313"/>
      <c r="N130" s="313"/>
      <c r="O130" s="313"/>
      <c r="P130" s="313"/>
      <c r="Q130" s="313"/>
      <c r="R130" s="313"/>
      <c r="S130" s="314"/>
      <c r="V130" s="192"/>
      <c r="W130" s="192"/>
    </row>
    <row r="131" spans="2:23" x14ac:dyDescent="0.25">
      <c r="B131" s="315" t="str">
        <f>IF($B$123=builder!$U$133,B157,IF('adv shuffle'!K33&lt;&gt;"",'adv shuffle'!K33,IF($B$123=builder!$V$133,"Quirk","")))</f>
        <v/>
      </c>
      <c r="C131" s="316"/>
      <c r="D131" s="316"/>
      <c r="E131" s="316"/>
      <c r="F131" s="316"/>
      <c r="G131" s="316"/>
      <c r="H131" s="316"/>
      <c r="I131" s="316"/>
      <c r="J131" s="316"/>
      <c r="K131" s="316"/>
      <c r="L131" s="316"/>
      <c r="M131" s="316"/>
      <c r="N131" s="316"/>
      <c r="O131" s="316"/>
      <c r="P131" s="65"/>
      <c r="Q131" s="65"/>
      <c r="R131" s="65"/>
      <c r="S131" s="65"/>
    </row>
    <row r="132" spans="2:23" s="24" customFormat="1" ht="30" customHeight="1" x14ac:dyDescent="0.25">
      <c r="B132" s="312" t="str">
        <f>IF(B131&lt;&gt;"",IF($B$123=builder!$U$133,VLOOKUP(B131,styles!$G$137:$J$148,3),IF($B$123=builder!$W$133,VLOOKUP(B131,styles!$B$37:$E$47,4),IF($B$123=builder!$V$133,VLOOKUP(E123,styles!$B$64:$H$76,6),IF($B$123=builder!$Z$133,VLOOKUP(B131,styles!$B$106:$E$111,4),IF($B$123=builder!$AE$133,VLOOKUP(B131,styles!$D$87:$F$91,3),IF($B$123=builder!$X$133,VLOOKUP($B$131,styles!$B$114:$D$133,3),IF($B$123=builder!$AA$133,VLOOKUP($B131,styles!$I$114:$J$120,2),IF($B$123=builder!$Y$133,VLOOKUP($B131,styles!$N$114:$Q$119,3),"")))))))),"")</f>
        <v/>
      </c>
      <c r="C132" s="313"/>
      <c r="D132" s="313"/>
      <c r="E132" s="313"/>
      <c r="F132" s="313"/>
      <c r="G132" s="313"/>
      <c r="H132" s="313"/>
      <c r="I132" s="313"/>
      <c r="J132" s="313"/>
      <c r="K132" s="313"/>
      <c r="L132" s="313"/>
      <c r="M132" s="313"/>
      <c r="N132" s="313"/>
      <c r="O132" s="313"/>
      <c r="P132" s="313"/>
      <c r="Q132" s="313"/>
      <c r="R132" s="313"/>
      <c r="S132" s="314"/>
      <c r="V132" s="192"/>
      <c r="W132" s="192"/>
    </row>
    <row r="133" spans="2:23" x14ac:dyDescent="0.25">
      <c r="B133" s="315" t="str">
        <f>IF($B$123=builder!$U$133,B159,IF('adv shuffle'!K34&lt;&gt;"",'adv shuffle'!K34,IF($B$123=builder!$V$133,"Legendary","")))</f>
        <v/>
      </c>
      <c r="C133" s="316"/>
      <c r="D133" s="316"/>
      <c r="E133" s="316"/>
      <c r="F133" s="316"/>
      <c r="G133" s="316"/>
      <c r="H133" s="316"/>
      <c r="I133" s="316"/>
      <c r="J133" s="316"/>
      <c r="K133" s="316"/>
      <c r="L133" s="316"/>
      <c r="M133" s="316"/>
      <c r="N133" s="316"/>
      <c r="O133" s="316"/>
      <c r="P133" s="65"/>
      <c r="Q133" s="368" t="str">
        <f>IF($B$123=builder!$V$133,VLOOKUP($E123,styles!$B$64:$H$83,7),"")</f>
        <v/>
      </c>
      <c r="R133" s="368"/>
      <c r="S133" s="368"/>
    </row>
    <row r="134" spans="2:23" s="24" customFormat="1" ht="30" customHeight="1" x14ac:dyDescent="0.25">
      <c r="B134" s="312" t="str">
        <f>IF(B133&lt;&gt;"",IF($B$123=builder!$U$133,VLOOKUP(B133,styles!$G$137:$J$148,3),IF($B$123=builder!$W$133,VLOOKUP(B133,styles!$B$37:$E$47,4),IF($B$123=builder!$V$133,VLOOKUP(E123,styles!$B$64:$I$83,8),IF($B$123=builder!$Z$133,VLOOKUP(B133,styles!$B$106:$E$111,4),IF($B$123=builder!$AE$133,VLOOKUP(B133,styles!$D$87:$F$91,3),IF($B$123=builder!$X$133,VLOOKUP($B$133,styles!$B$114:$D$133,3),IF($B$123=builder!$AA$133,VLOOKUP($B133,styles!$I$114:$J$120,2),IF($B$123=builder!$Y$133,VLOOKUP($B133,styles!$N$114:$Q$119,3),"")))))))),"")</f>
        <v/>
      </c>
      <c r="C134" s="313"/>
      <c r="D134" s="313"/>
      <c r="E134" s="313"/>
      <c r="F134" s="313"/>
      <c r="G134" s="313"/>
      <c r="H134" s="313"/>
      <c r="I134" s="313"/>
      <c r="J134" s="313"/>
      <c r="K134" s="313"/>
      <c r="L134" s="313"/>
      <c r="M134" s="313"/>
      <c r="N134" s="313"/>
      <c r="O134" s="313"/>
      <c r="P134" s="313"/>
      <c r="Q134" s="313"/>
      <c r="R134" s="313"/>
      <c r="S134" s="314"/>
      <c r="V134" s="192"/>
      <c r="W134" s="192"/>
    </row>
    <row r="135" spans="2:23" x14ac:dyDescent="0.25">
      <c r="B135" s="315" t="str">
        <f>IF($B$123=builder!$U$133,B161,IF('adv shuffle'!K35&lt;&gt;"",'adv shuffle'!K35,""))</f>
        <v/>
      </c>
      <c r="C135" s="316"/>
      <c r="D135" s="316"/>
      <c r="E135" s="316"/>
      <c r="F135" s="316"/>
      <c r="G135" s="316"/>
      <c r="H135" s="316"/>
      <c r="I135" s="316"/>
      <c r="J135" s="316"/>
      <c r="K135" s="316"/>
      <c r="L135" s="316"/>
      <c r="M135" s="316"/>
      <c r="N135" s="316"/>
      <c r="O135" s="316"/>
      <c r="P135" s="65"/>
      <c r="Q135" s="65"/>
      <c r="R135" s="65"/>
      <c r="S135" s="65"/>
    </row>
    <row r="136" spans="2:23" s="24" customFormat="1" ht="30" customHeight="1" x14ac:dyDescent="0.25">
      <c r="B136" s="312" t="str">
        <f>IF(B135&lt;&gt;"",IF($B$123=builder!$U$133,VLOOKUP(B135,styles!$G$137:$J$148,3),IF($B$123=builder!$W$133,VLOOKUP(B135,styles!$B$37:$E$47,4),IF($B$123=builder!$T$133,VLOOKUP(B135,styles!$J$64:$M$76,4),IF($B$123=builder!$Z$133,VLOOKUP(B135,styles!$B$106:$E$111,4),IF($B$123=builder!$AE$133,VLOOKUP(B135,styles!$D$87:$F$91,3),IF($B$123=builder!$X$133,VLOOKUP($B$135,styles!$B$114:$D$133,3),IF($B$123=builder!$AA$133,VLOOKUP($B135,styles!$I$114:$J$120,2),IF($B$123=builder!$Y$133,VLOOKUP($B135,styles!$N$114:$Q$119,3),"")))))))),"")</f>
        <v/>
      </c>
      <c r="C136" s="313"/>
      <c r="D136" s="313"/>
      <c r="E136" s="313"/>
      <c r="F136" s="313"/>
      <c r="G136" s="313"/>
      <c r="H136" s="313"/>
      <c r="I136" s="313"/>
      <c r="J136" s="313"/>
      <c r="K136" s="313"/>
      <c r="L136" s="313"/>
      <c r="M136" s="313"/>
      <c r="N136" s="313"/>
      <c r="O136" s="313"/>
      <c r="P136" s="313"/>
      <c r="Q136" s="313"/>
      <c r="R136" s="313"/>
      <c r="S136" s="314"/>
      <c r="V136" s="192"/>
      <c r="W136" s="192"/>
    </row>
    <row r="137" spans="2:23" x14ac:dyDescent="0.25">
      <c r="B137" s="315" t="str">
        <f>IF($B$123=builder!$U$133,B163,IF('adv shuffle'!K36&lt;&gt;"",'adv shuffle'!K36,""))</f>
        <v/>
      </c>
      <c r="C137" s="316"/>
      <c r="D137" s="316"/>
      <c r="E137" s="316"/>
      <c r="F137" s="316"/>
      <c r="G137" s="316"/>
      <c r="H137" s="316"/>
      <c r="I137" s="316"/>
      <c r="J137" s="316"/>
      <c r="K137" s="316"/>
      <c r="L137" s="316"/>
      <c r="M137" s="316"/>
      <c r="N137" s="316"/>
      <c r="O137" s="316"/>
      <c r="P137" s="65"/>
      <c r="Q137" s="65"/>
      <c r="R137" s="65"/>
      <c r="S137" s="65"/>
    </row>
    <row r="138" spans="2:23" s="24" customFormat="1" ht="30" customHeight="1" x14ac:dyDescent="0.25">
      <c r="B138" s="312" t="str">
        <f>IF(B137&lt;&gt;"",IF($B$123=builder!$U$133,VLOOKUP(B137,styles!$G$137:$J$148,3),IF($B$123=builder!$W$133,VLOOKUP(B137,styles!$B$37:$E$47,4),IF($B$123=builder!$T$133,VLOOKUP(B137,styles!$J$64:$M$76,4),IF($B$123=builder!$Z$133,VLOOKUP(B137,styles!$B$106:$E$111,4),IF($B$123=builder!$AE$133,VLOOKUP(B137,styles!$D$87:$F$91,3),IF($B$123=builder!$X$133,VLOOKUP($B$137,styles!$B$114:$D$133,3),IF($B$123=builder!$AA$133,VLOOKUP($B137,styles!$I$114:$J$120,2),IF($B$123=builder!$Y$133,VLOOKUP($B137,styles!$N$114:$Q$119,3),"")))))))),"")</f>
        <v/>
      </c>
      <c r="C138" s="313"/>
      <c r="D138" s="313"/>
      <c r="E138" s="313"/>
      <c r="F138" s="313"/>
      <c r="G138" s="313"/>
      <c r="H138" s="313"/>
      <c r="I138" s="313"/>
      <c r="J138" s="313"/>
      <c r="K138" s="313"/>
      <c r="L138" s="313"/>
      <c r="M138" s="313"/>
      <c r="N138" s="313"/>
      <c r="O138" s="313"/>
      <c r="P138" s="313"/>
      <c r="Q138" s="313"/>
      <c r="R138" s="313"/>
      <c r="S138" s="314"/>
      <c r="W138" s="192"/>
    </row>
    <row r="139" spans="2:23" x14ac:dyDescent="0.25">
      <c r="B139" s="315" t="str">
        <f>IF($B$123=builder!$U$133,B165,IF(COUNTIF(builder!B118:D121,styles!D90),"Pull cont.",IF('adv shuffle'!K37&lt;&gt;"",'adv shuffle'!K37,"")))</f>
        <v/>
      </c>
      <c r="C139" s="316"/>
      <c r="D139" s="316"/>
      <c r="E139" s="316"/>
      <c r="F139" s="316"/>
      <c r="G139" s="316"/>
      <c r="H139" s="316"/>
      <c r="I139" s="316"/>
      <c r="J139" s="316"/>
      <c r="K139" s="316"/>
      <c r="L139" s="316"/>
      <c r="M139" s="316"/>
      <c r="N139" s="316"/>
      <c r="O139" s="316"/>
      <c r="P139" s="65"/>
      <c r="Q139" s="65"/>
      <c r="R139" s="65"/>
      <c r="S139" s="65"/>
    </row>
    <row r="140" spans="2:23" s="24" customFormat="1" ht="30" customHeight="1" x14ac:dyDescent="0.25">
      <c r="B140" s="312" t="str">
        <f>IF(B139&lt;&gt;"",IF($B$123=builder!$U$133,VLOOKUP(B139,styles!$G$137:$J$148,3),IF($B$123=builder!$W$133,VLOOKUP(B139,styles!$B$37:$E$47,4),IF($B$123=builder!$T$133,VLOOKUP(B139,styles!$J$64:$M$76,4),IF($B$123=builder!$Z$133,VLOOKUP(B139,styles!$B$106:$E$111,4),IF($B$123=builder!$AE$133,styles!G90,IF($B$123=builder!$X$133,VLOOKUP($B$139,styles!$B$114:$D$133,3),IF($B$123=builder!$AA$133,VLOOKUP($B139,styles!$I$114:$J$120,2),""))))))),"")</f>
        <v/>
      </c>
      <c r="C140" s="313"/>
      <c r="D140" s="313"/>
      <c r="E140" s="313"/>
      <c r="F140" s="313"/>
      <c r="G140" s="313"/>
      <c r="H140" s="313"/>
      <c r="I140" s="313"/>
      <c r="J140" s="313"/>
      <c r="K140" s="313"/>
      <c r="L140" s="313"/>
      <c r="M140" s="313"/>
      <c r="N140" s="313"/>
      <c r="O140" s="313"/>
      <c r="P140" s="313"/>
      <c r="Q140" s="313"/>
      <c r="R140" s="313"/>
      <c r="S140" s="314"/>
      <c r="W140" s="192"/>
    </row>
    <row r="141" spans="2:23" s="246" customFormat="1" x14ac:dyDescent="0.25">
      <c r="B141" s="315" t="str">
        <f>IF($B$123=builder!$U$133,B167,"")</f>
        <v/>
      </c>
      <c r="C141" s="316"/>
      <c r="D141" s="316"/>
      <c r="E141" s="316"/>
      <c r="F141" s="316"/>
      <c r="G141" s="316"/>
      <c r="H141" s="316"/>
      <c r="I141" s="316"/>
      <c r="J141" s="316"/>
      <c r="K141" s="316"/>
      <c r="L141" s="316"/>
      <c r="M141" s="316"/>
      <c r="N141" s="316"/>
      <c r="O141" s="316"/>
      <c r="P141" s="245"/>
      <c r="Q141" s="245"/>
      <c r="R141" s="245"/>
      <c r="S141" s="245"/>
    </row>
    <row r="142" spans="2:23" s="246" customFormat="1" ht="30" customHeight="1" x14ac:dyDescent="0.25">
      <c r="B142" s="312" t="str">
        <f>IF(B141&lt;&gt;"",IF($B$123=builder!$U$133,VLOOKUP(B141,styles!$G$137:$J$148,3),""),"")</f>
        <v/>
      </c>
      <c r="C142" s="313"/>
      <c r="D142" s="313"/>
      <c r="E142" s="313"/>
      <c r="F142" s="313"/>
      <c r="G142" s="313"/>
      <c r="H142" s="313"/>
      <c r="I142" s="313"/>
      <c r="J142" s="313"/>
      <c r="K142" s="313"/>
      <c r="L142" s="313"/>
      <c r="M142" s="313"/>
      <c r="N142" s="313"/>
      <c r="O142" s="313"/>
      <c r="P142" s="313"/>
      <c r="Q142" s="313"/>
      <c r="R142" s="313"/>
      <c r="S142" s="314"/>
    </row>
    <row r="143" spans="2:23" s="246" customFormat="1" x14ac:dyDescent="0.25">
      <c r="B143" s="315" t="str">
        <f>IF($B$123=builder!$U$133,B169,"")</f>
        <v/>
      </c>
      <c r="C143" s="316"/>
      <c r="D143" s="316"/>
      <c r="E143" s="316"/>
      <c r="F143" s="316"/>
      <c r="G143" s="316"/>
      <c r="H143" s="316"/>
      <c r="I143" s="316"/>
      <c r="J143" s="316"/>
      <c r="K143" s="316"/>
      <c r="L143" s="316"/>
      <c r="M143" s="316"/>
      <c r="N143" s="316"/>
      <c r="O143" s="316"/>
      <c r="P143" s="245"/>
      <c r="Q143" s="245"/>
      <c r="R143" s="245"/>
      <c r="S143" s="245"/>
    </row>
    <row r="144" spans="2:23" s="246" customFormat="1" ht="30" customHeight="1" x14ac:dyDescent="0.25">
      <c r="B144" s="312" t="str">
        <f>IF(B143&lt;&gt;"",IF($B$123=builder!$U$133,VLOOKUP(B143,styles!$G$137:$J$148,3),""),"")</f>
        <v/>
      </c>
      <c r="C144" s="313"/>
      <c r="D144" s="313"/>
      <c r="E144" s="313"/>
      <c r="F144" s="313"/>
      <c r="G144" s="313"/>
      <c r="H144" s="313"/>
      <c r="I144" s="313"/>
      <c r="J144" s="313"/>
      <c r="K144" s="313"/>
      <c r="L144" s="313"/>
      <c r="M144" s="313"/>
      <c r="N144" s="313"/>
      <c r="O144" s="313"/>
      <c r="P144" s="313"/>
      <c r="Q144" s="313"/>
      <c r="R144" s="313"/>
      <c r="S144" s="314"/>
    </row>
    <row r="145" spans="2:22" s="246" customFormat="1" x14ac:dyDescent="0.25">
      <c r="B145" s="315" t="str">
        <f>IF($B$123=builder!$U$133,B171,"")</f>
        <v/>
      </c>
      <c r="C145" s="316"/>
      <c r="D145" s="316"/>
      <c r="E145" s="316"/>
      <c r="F145" s="316"/>
      <c r="G145" s="316"/>
      <c r="H145" s="316"/>
      <c r="I145" s="316"/>
      <c r="J145" s="316"/>
      <c r="K145" s="316"/>
      <c r="L145" s="316"/>
      <c r="M145" s="316"/>
      <c r="N145" s="316"/>
      <c r="O145" s="316"/>
      <c r="P145" s="245"/>
      <c r="Q145" s="245"/>
      <c r="R145" s="245"/>
      <c r="S145" s="245"/>
    </row>
    <row r="146" spans="2:22" s="246" customFormat="1" ht="30" customHeight="1" x14ac:dyDescent="0.25">
      <c r="B146" s="312" t="str">
        <f>IF(B145&lt;&gt;"",IF($B$123=builder!$U$133,VLOOKUP(B145,styles!$G$137:$J$148,3),""),"")</f>
        <v/>
      </c>
      <c r="C146" s="313"/>
      <c r="D146" s="313"/>
      <c r="E146" s="313"/>
      <c r="F146" s="313"/>
      <c r="G146" s="313"/>
      <c r="H146" s="313"/>
      <c r="I146" s="313"/>
      <c r="J146" s="313"/>
      <c r="K146" s="313"/>
      <c r="L146" s="313"/>
      <c r="M146" s="313"/>
      <c r="N146" s="313"/>
      <c r="O146" s="313"/>
      <c r="P146" s="313"/>
      <c r="Q146" s="313"/>
      <c r="R146" s="313"/>
      <c r="S146" s="314"/>
    </row>
    <row r="147" spans="2:22" s="246" customFormat="1" x14ac:dyDescent="0.25">
      <c r="B147" s="315" t="str">
        <f>IF($B$123=builder!$U$133,B173,"")</f>
        <v/>
      </c>
      <c r="C147" s="316"/>
      <c r="D147" s="316"/>
      <c r="E147" s="316"/>
      <c r="F147" s="316"/>
      <c r="G147" s="316"/>
      <c r="H147" s="316"/>
      <c r="I147" s="316"/>
      <c r="J147" s="316"/>
      <c r="K147" s="316"/>
      <c r="L147" s="316"/>
      <c r="M147" s="316"/>
      <c r="N147" s="316"/>
      <c r="O147" s="316"/>
      <c r="P147" s="245"/>
      <c r="Q147" s="245"/>
      <c r="R147" s="245"/>
      <c r="S147" s="245"/>
    </row>
    <row r="148" spans="2:22" s="246" customFormat="1" ht="30" customHeight="1" x14ac:dyDescent="0.25">
      <c r="B148" s="312" t="str">
        <f>IF(B147&lt;&gt;"",IF($B$123=builder!$U$133,VLOOKUP(B147,styles!$G$137:$J$148,3),""),"")</f>
        <v/>
      </c>
      <c r="C148" s="313"/>
      <c r="D148" s="313"/>
      <c r="E148" s="313"/>
      <c r="F148" s="313"/>
      <c r="G148" s="313"/>
      <c r="H148" s="313"/>
      <c r="I148" s="313"/>
      <c r="J148" s="313"/>
      <c r="K148" s="313"/>
      <c r="L148" s="313"/>
      <c r="M148" s="313"/>
      <c r="N148" s="313"/>
      <c r="O148" s="313"/>
      <c r="P148" s="313"/>
      <c r="Q148" s="313"/>
      <c r="R148" s="313"/>
      <c r="S148" s="314"/>
    </row>
    <row r="149" spans="2:22" s="246" customFormat="1" x14ac:dyDescent="0.25">
      <c r="B149" s="315" t="str">
        <f>IF($B$123=builder!$U$133,B175,"")</f>
        <v/>
      </c>
      <c r="C149" s="316"/>
      <c r="D149" s="316"/>
      <c r="E149" s="316"/>
      <c r="F149" s="316"/>
      <c r="G149" s="316"/>
      <c r="H149" s="316"/>
      <c r="I149" s="316"/>
      <c r="J149" s="316"/>
      <c r="K149" s="316"/>
      <c r="L149" s="316"/>
      <c r="M149" s="316"/>
      <c r="N149" s="316"/>
      <c r="O149" s="316"/>
      <c r="P149" s="245"/>
      <c r="Q149" s="245"/>
      <c r="R149" s="245"/>
      <c r="S149" s="245"/>
    </row>
    <row r="150" spans="2:22" s="246" customFormat="1" ht="30" customHeight="1" x14ac:dyDescent="0.25">
      <c r="B150" s="312" t="str">
        <f>IF(B149&lt;&gt;"",IF($B$123=builder!$U$133,VLOOKUP(B149,styles!$G$137:$J$148,3),""),"")</f>
        <v/>
      </c>
      <c r="C150" s="313"/>
      <c r="D150" s="313"/>
      <c r="E150" s="313"/>
      <c r="F150" s="313"/>
      <c r="G150" s="313"/>
      <c r="H150" s="313"/>
      <c r="I150" s="313"/>
      <c r="J150" s="313"/>
      <c r="K150" s="313"/>
      <c r="L150" s="313"/>
      <c r="M150" s="313"/>
      <c r="N150" s="313"/>
      <c r="O150" s="313"/>
      <c r="P150" s="313"/>
      <c r="Q150" s="313"/>
      <c r="R150" s="313"/>
      <c r="S150" s="314"/>
    </row>
    <row r="152" spans="2:22" x14ac:dyDescent="0.25">
      <c r="B152" s="1" t="str">
        <f>IF(B123&lt;&gt;"",HLOOKUP(B123,builder!T133:AE151,17),"")</f>
        <v/>
      </c>
      <c r="D152" s="369" t="str">
        <f>IF(AND(B123&lt;&gt;"",B123&lt;&gt;"none"),HLOOKUP($B$123,builder!T133:AE151,19),"--")</f>
        <v>--</v>
      </c>
      <c r="E152" s="369"/>
      <c r="F152" s="369"/>
      <c r="G152" s="369"/>
      <c r="H152" s="369"/>
      <c r="I152" s="369"/>
      <c r="J152" s="369"/>
      <c r="K152" s="369"/>
      <c r="L152" s="369"/>
      <c r="M152" s="369"/>
      <c r="N152" s="369"/>
      <c r="O152" s="369"/>
      <c r="P152" s="369"/>
      <c r="Q152" s="369"/>
      <c r="R152" s="369"/>
      <c r="S152" s="369"/>
    </row>
    <row r="153" spans="2:22" x14ac:dyDescent="0.25">
      <c r="B153" s="377" t="str">
        <f>IF('adv shuffle'!K38&lt;&gt;"",'adv shuffle'!K38,"")</f>
        <v/>
      </c>
      <c r="C153" s="369"/>
      <c r="D153" s="369"/>
      <c r="E153" s="10"/>
      <c r="F153" s="10"/>
      <c r="G153" s="10"/>
      <c r="H153" s="10"/>
      <c r="I153" s="10"/>
      <c r="J153" s="10"/>
      <c r="K153" s="10"/>
      <c r="L153" s="10"/>
      <c r="M153" s="10"/>
      <c r="N153" s="10"/>
      <c r="O153" s="10"/>
      <c r="P153" s="10"/>
      <c r="Q153" s="10"/>
      <c r="R153" s="10"/>
      <c r="S153" s="10"/>
    </row>
    <row r="154" spans="2:22" s="24" customFormat="1" ht="30" customHeight="1" x14ac:dyDescent="0.25">
      <c r="B154" s="370" t="str">
        <f>IF(B153&lt;&gt;"",IF($B$123=builder!$U$133,VLOOKUP(B153,styles!$G$137:$J$148,4),IF($B$123=builder!$T$133,VLOOKUP(B153,styles!B138:C142,2),IF($B$123=builder!$AE$133,VLOOKUP(B153,styles!G96:I103,3),IF($B$123=builder!$W$133,VLOOKUP(B153,styles!$B$48:$E$60,4),IF($B$123=builder!$T$133,VLOOKUP(B153,styles!$O$64:$R$76,4),IF($B$123=builder!$Z$133,VLOOKUP(B153,styles!$B$96:$D$104,3),IF($B$123=builder!$AE$133,VLOOKUP(B153,styles!$D$87:$F$91,2),IF($B$123=builder!$X$133,VLOOKUP($B$153,styles!$E$114:$F$133,2),IF($B$123=builder!$AA$133,VLOOKUP($B153,styles!$K$114:$L$120,2),IF($B$123=builder!$Y$133,VLOOKUP($B153,styles!$N$114:$Q$119,4),"")))))))))),"")</f>
        <v/>
      </c>
      <c r="C154" s="371"/>
      <c r="D154" s="372"/>
      <c r="E154" s="372"/>
      <c r="F154" s="372"/>
      <c r="G154" s="372"/>
      <c r="H154" s="372"/>
      <c r="I154" s="372"/>
      <c r="J154" s="372"/>
      <c r="K154" s="372"/>
      <c r="L154" s="372"/>
      <c r="M154" s="372"/>
      <c r="N154" s="372"/>
      <c r="O154" s="372"/>
      <c r="P154" s="372"/>
      <c r="Q154" s="372"/>
      <c r="R154" s="372"/>
      <c r="S154" s="373"/>
    </row>
    <row r="155" spans="2:22" x14ac:dyDescent="0.25">
      <c r="B155" s="315" t="str">
        <f>IF('adv shuffle'!K39&lt;&gt;"",'adv shuffle'!K39,"")</f>
        <v/>
      </c>
      <c r="C155" s="316"/>
      <c r="D155" s="316"/>
      <c r="E155" s="65"/>
      <c r="F155" s="65"/>
      <c r="G155" s="65"/>
      <c r="H155" s="65"/>
      <c r="I155" s="65"/>
      <c r="J155" s="65"/>
      <c r="K155" s="65"/>
      <c r="L155" s="65"/>
      <c r="M155" s="65"/>
      <c r="N155" s="65"/>
      <c r="O155" s="65"/>
      <c r="P155" s="65"/>
      <c r="Q155" s="65"/>
      <c r="R155" s="65"/>
      <c r="S155" s="65"/>
    </row>
    <row r="156" spans="2:22" s="24" customFormat="1" ht="30" customHeight="1" x14ac:dyDescent="0.25">
      <c r="B156" s="370" t="str">
        <f>IF(B155&lt;&gt;"",IF($B$123=builder!$U$133,VLOOKUP(B155,styles!$G$137:$J$148,4),IF($B$123=builder!$T$133,VLOOKUP(B155,styles!B138:C142,2),IF($B$123=builder!$AE$133,VLOOKUP(B155,styles!G96:I103,3),IF($B$123=builder!$W$133,VLOOKUP(B155,styles!$B$48:$E$60,4),IF($B$123=builder!$T$133,VLOOKUP(B155,styles!$O$64:$R$76,4),IF($B$123=builder!$Z$133,VLOOKUP(B155,styles!$B$96:$D$104,3),IF($B$123=builder!$AE$133,VLOOKUP(B155,styles!$D$87:$F$91,2),IF($B$123=builder!$X$133,VLOOKUP($B155,styles!$E$114:$F$133,2),IF($B$123=builder!$AA$133,VLOOKUP($B155,styles!$K$114:$L$120,2),IF($B$123=builder!$Y$133,VLOOKUP($B155,styles!$N$114:$Q$119,4),"")))))))))),"")</f>
        <v/>
      </c>
      <c r="C156" s="371"/>
      <c r="D156" s="372"/>
      <c r="E156" s="372"/>
      <c r="F156" s="372"/>
      <c r="G156" s="372"/>
      <c r="H156" s="372"/>
      <c r="I156" s="372"/>
      <c r="J156" s="372"/>
      <c r="K156" s="372"/>
      <c r="L156" s="372"/>
      <c r="M156" s="372"/>
      <c r="N156" s="372"/>
      <c r="O156" s="372"/>
      <c r="P156" s="372"/>
      <c r="Q156" s="372"/>
      <c r="R156" s="372"/>
      <c r="S156" s="373"/>
      <c r="U156" s="192"/>
      <c r="V156" s="192"/>
    </row>
    <row r="157" spans="2:22" x14ac:dyDescent="0.25">
      <c r="B157" s="315" t="str">
        <f>IF('adv shuffle'!K40&lt;&gt;"",'adv shuffle'!K40,"")</f>
        <v/>
      </c>
      <c r="C157" s="316"/>
      <c r="D157" s="316"/>
    </row>
    <row r="158" spans="2:22" s="24" customFormat="1" ht="30" customHeight="1" x14ac:dyDescent="0.25">
      <c r="B158" s="370" t="str">
        <f>IF(B157&lt;&gt;"",IF($B$123=builder!$U$133,VLOOKUP(B157,styles!$G$137:$J$148,4),IF($B$123=builder!$T$133,VLOOKUP(B157,styles!B138:C142,2),IF($B$123=builder!$AE$133,VLOOKUP(B157,styles!G96:I103,3),IF($B$123=builder!$W$133,VLOOKUP(B157,styles!$B$48:$E$60,4),IF($B$123=builder!$T$133,VLOOKUP(B157,styles!$O$64:$R$76,4),IF($B$123=builder!$Z$133,VLOOKUP(B157,styles!$B$96:$D$104,3),IF($B$123=builder!$AE$133,VLOOKUP(B157,styles!$D$87:$F$91,2),IF($B$123=builder!$X$133,VLOOKUP($B157,styles!$E$114:$F$133,2),IF($B$123=builder!$AA$133,VLOOKUP($B157,styles!$K$114:$L$120,2),IF($B$123=builder!$Y$133,VLOOKUP($B157,styles!$N$114:$Q$119,4),"")))))))))),"")</f>
        <v/>
      </c>
      <c r="C158" s="371"/>
      <c r="D158" s="372"/>
      <c r="E158" s="372"/>
      <c r="F158" s="372"/>
      <c r="G158" s="372"/>
      <c r="H158" s="372"/>
      <c r="I158" s="372"/>
      <c r="J158" s="372"/>
      <c r="K158" s="372"/>
      <c r="L158" s="372"/>
      <c r="M158" s="372"/>
      <c r="N158" s="372"/>
      <c r="O158" s="372"/>
      <c r="P158" s="372"/>
      <c r="Q158" s="372"/>
      <c r="R158" s="372"/>
      <c r="S158" s="373"/>
      <c r="U158" s="192"/>
      <c r="V158" s="192"/>
    </row>
    <row r="159" spans="2:22" x14ac:dyDescent="0.25">
      <c r="B159" s="315" t="str">
        <f>IF('adv shuffle'!K41&lt;&gt;"",'adv shuffle'!K41,"")</f>
        <v/>
      </c>
      <c r="C159" s="316"/>
      <c r="D159" s="316"/>
    </row>
    <row r="160" spans="2:22" s="24" customFormat="1" ht="30" customHeight="1" x14ac:dyDescent="0.25">
      <c r="B160" s="370" t="str">
        <f>IF(B159&lt;&gt;"",IF($B$123=builder!$U$133,VLOOKUP(B159,styles!$G$137:$J$148,4),IF($B$123=builder!$T$133,VLOOKUP(B159,styles!B138:C142,2),IF($B$123=builder!$AE$133,VLOOKUP(B159,styles!G96:I103,3),IF($B$123=builder!$W$133,VLOOKUP(B159,styles!$B$48:$E$60,4),IF($B$123=builder!$T$133,VLOOKUP(B159,styles!$O$64:$R$76,4),IF($B$123=builder!$Z$133,VLOOKUP(B159,styles!$B$96:$D$104,3),IF($B$123=builder!$AE$133,VLOOKUP(B159,styles!$D$87:$F$91,2),IF($B$123=builder!$X$133,VLOOKUP($B159,styles!$E$114:$F$133,2),IF($B$123=builder!$AA$133,VLOOKUP($B159,styles!$K$114:$L$120,2),IF($B$123=builder!$Y$133,VLOOKUP($B159,styles!$N$114:$Q$119,4),"")))))))))),"")</f>
        <v/>
      </c>
      <c r="C160" s="371"/>
      <c r="D160" s="372"/>
      <c r="E160" s="372"/>
      <c r="F160" s="372"/>
      <c r="G160" s="372"/>
      <c r="H160" s="372"/>
      <c r="I160" s="372"/>
      <c r="J160" s="372"/>
      <c r="K160" s="372"/>
      <c r="L160" s="372"/>
      <c r="M160" s="372"/>
      <c r="N160" s="372"/>
      <c r="O160" s="372"/>
      <c r="P160" s="372"/>
      <c r="Q160" s="372"/>
      <c r="R160" s="372"/>
      <c r="S160" s="373"/>
      <c r="U160" s="192"/>
      <c r="V160" s="192"/>
    </row>
    <row r="161" spans="2:22" x14ac:dyDescent="0.25">
      <c r="B161" s="315" t="str">
        <f>IF('adv shuffle'!K42&lt;&gt;"",'adv shuffle'!K42,"")</f>
        <v/>
      </c>
      <c r="C161" s="316"/>
      <c r="D161" s="316"/>
    </row>
    <row r="162" spans="2:22" s="24" customFormat="1" ht="30" customHeight="1" x14ac:dyDescent="0.25">
      <c r="B162" s="370" t="str">
        <f>IF(B161&lt;&gt;"",IF($B$123=builder!$U$133,VLOOKUP(B161,styles!$G$137:$J$148,4),IF($B$123=builder!$T$133,VLOOKUP(B161,styles!B138:C142,2),IF($B$123=builder!$AE$133,VLOOKUP(B161,styles!G96:I103,3),IF($B$123=builder!$W$133,VLOOKUP(B161,styles!$B$48:$E$60,4),IF($B$123=builder!$T$133,VLOOKUP(B161,styles!$O$64:$R$76,4),IF($B$123=builder!$Z$133,VLOOKUP(B161,styles!$B$96:$D$104,3),IF($B$123=builder!$AE$133,VLOOKUP(B161,styles!$D$87:$F$91,2),IF($B$123=builder!$X$133,VLOOKUP($B161,styles!$E$114:$F$133,2),IF($B$123=builder!$AA$133,VLOOKUP($B161,styles!$K$114:$L$120,2),IF($B$123=builder!$Y$133,VLOOKUP($B161,styles!$N$114:$Q$119,4),"")))))))))),"")</f>
        <v/>
      </c>
      <c r="C162" s="371"/>
      <c r="D162" s="372"/>
      <c r="E162" s="372"/>
      <c r="F162" s="372"/>
      <c r="G162" s="372"/>
      <c r="H162" s="372"/>
      <c r="I162" s="372"/>
      <c r="J162" s="372"/>
      <c r="K162" s="372"/>
      <c r="L162" s="372"/>
      <c r="M162" s="372"/>
      <c r="N162" s="372"/>
      <c r="O162" s="372"/>
      <c r="P162" s="372"/>
      <c r="Q162" s="372"/>
      <c r="R162" s="372"/>
      <c r="S162" s="373"/>
      <c r="U162" s="192"/>
      <c r="V162" s="192"/>
    </row>
    <row r="163" spans="2:22" x14ac:dyDescent="0.25">
      <c r="B163" s="315" t="str">
        <f>IF('adv shuffle'!K43&lt;&gt;"",'adv shuffle'!K43,"")</f>
        <v/>
      </c>
      <c r="C163" s="316"/>
      <c r="D163" s="316"/>
    </row>
    <row r="164" spans="2:22" s="24" customFormat="1" ht="30" customHeight="1" x14ac:dyDescent="0.25">
      <c r="B164" s="370" t="str">
        <f>IF(B163&lt;&gt;"",IF($B$123=builder!$U$133,VLOOKUP(B163,styles!$G$137:$J$148,4),IF($B$123=builder!$AE$133,VLOOKUP(B163,styles!G96:I103,3),IF($B$123=builder!$W$133,VLOOKUP(B163,styles!$B$48:$E$60,4),IF($B$123=builder!$T$133,VLOOKUP(B163,styles!$O$64:$R$76,4),IF($B$123=builder!$Z$133,VLOOKUP(B163,styles!$B$96:$D$104,3),IF($B$123=builder!$AE$133,VLOOKUP(B163,styles!$D$87:$F$91,2),IF($B$123=builder!$X$133,VLOOKUP($B163,styles!$E$114:$F$133,2),IF($B$123=builder!$AA$133,VLOOKUP($B163,styles!$K$114:$L$120,2),IF($B$123=builder!$Y$133,VLOOKUP($B163,styles!$N$114:$Q$119,4),""))))))))),"")</f>
        <v/>
      </c>
      <c r="C164" s="371"/>
      <c r="D164" s="372"/>
      <c r="E164" s="372"/>
      <c r="F164" s="372"/>
      <c r="G164" s="372"/>
      <c r="H164" s="372"/>
      <c r="I164" s="372"/>
      <c r="J164" s="372"/>
      <c r="K164" s="372"/>
      <c r="L164" s="372"/>
      <c r="M164" s="372"/>
      <c r="N164" s="372"/>
      <c r="O164" s="372"/>
      <c r="P164" s="372"/>
      <c r="Q164" s="372"/>
      <c r="R164" s="372"/>
      <c r="S164" s="373"/>
      <c r="U164" s="192"/>
    </row>
    <row r="165" spans="2:22" x14ac:dyDescent="0.25">
      <c r="B165" s="315" t="str">
        <f>IF('adv shuffle'!K44&lt;&gt;"",'adv shuffle'!K44,"")</f>
        <v/>
      </c>
      <c r="C165" s="316"/>
      <c r="D165" s="316"/>
    </row>
    <row r="166" spans="2:22" s="24" customFormat="1" ht="30" customHeight="1" x14ac:dyDescent="0.25">
      <c r="B166" s="370" t="str">
        <f>IF(B165&lt;&gt;"",IF($B$123=builder!$U$133,VLOOKUP(B165,styles!$G$137:$J$148,4),IF($B$123=builder!$AE$133,VLOOKUP(B165,styles!G96:I103,3),IF($B$123=builder!$W$133,VLOOKUP(B165,styles!$B$48:$E$60,4),IF($B$123=builder!$T$133,VLOOKUP(B165,styles!$O$64:$R$76,4),IF($B$123=builder!$Z$133,VLOOKUP(B165,styles!$B$96:$D$104,3),IF($B$123=builder!$AE$133,VLOOKUP(B165,styles!$D$87:$F$91,2),IF($B$123=builder!$X$133,VLOOKUP($B165,styles!$E$114:$F$133,2),IF($B$123=builder!$AA$133,VLOOKUP($B165,styles!$K$114:$L$120,2),"")))))))),"")</f>
        <v/>
      </c>
      <c r="C166" s="371"/>
      <c r="D166" s="372"/>
      <c r="E166" s="372"/>
      <c r="F166" s="372"/>
      <c r="G166" s="372"/>
      <c r="H166" s="372"/>
      <c r="I166" s="372"/>
      <c r="J166" s="372"/>
      <c r="K166" s="372"/>
      <c r="L166" s="372"/>
      <c r="M166" s="372"/>
      <c r="N166" s="372"/>
      <c r="O166" s="372"/>
      <c r="P166" s="372"/>
      <c r="Q166" s="372"/>
      <c r="R166" s="372"/>
      <c r="S166" s="373"/>
      <c r="U166" s="192"/>
    </row>
    <row r="167" spans="2:22" x14ac:dyDescent="0.25">
      <c r="B167" s="315" t="str">
        <f>IF('adv shuffle'!K45&lt;&gt;"",'adv shuffle'!K45,"")</f>
        <v/>
      </c>
      <c r="C167" s="316"/>
      <c r="D167" s="316"/>
    </row>
    <row r="168" spans="2:22" s="24" customFormat="1" ht="30" customHeight="1" x14ac:dyDescent="0.25">
      <c r="B168" s="370" t="str">
        <f>IF(B167&lt;&gt;"",IF($B$123=builder!$U$133,VLOOKUP(B167,styles!$G$137:$J$148,4),IF($B$123=builder!$AE$133,VLOOKUP(B167,styles!G96:I103,3),IF($B$123=builder!$W$133,VLOOKUP(B167,styles!$B$48:$E$60,4),IF($B$123=builder!$T$133,VLOOKUP(B167,styles!$O$64:$R$76,4),IF($B$123=builder!$Z$133,VLOOKUP(B167,styles!$B$96:$D$104,3),IF($B$123=builder!$AE$133,VLOOKUP(B167,styles!$D$87:$F$91,2),IF($B$123=builder!$X$133,VLOOKUP($B167,styles!$E$114:$F$133,2),""))))))),"")</f>
        <v/>
      </c>
      <c r="C168" s="371"/>
      <c r="D168" s="372"/>
      <c r="E168" s="372"/>
      <c r="F168" s="372"/>
      <c r="G168" s="372"/>
      <c r="H168" s="372"/>
      <c r="I168" s="372"/>
      <c r="J168" s="372"/>
      <c r="K168" s="372"/>
      <c r="L168" s="372"/>
      <c r="M168" s="372"/>
      <c r="N168" s="372"/>
      <c r="O168" s="372"/>
      <c r="P168" s="372"/>
      <c r="Q168" s="372"/>
      <c r="R168" s="372"/>
      <c r="S168" s="373"/>
    </row>
    <row r="169" spans="2:22" x14ac:dyDescent="0.25">
      <c r="B169" s="315" t="str">
        <f>IF('adv shuffle'!K46&lt;&gt;"",'adv shuffle'!K46,"")</f>
        <v/>
      </c>
      <c r="C169" s="316"/>
      <c r="D169" s="316"/>
    </row>
    <row r="170" spans="2:22" s="24" customFormat="1" ht="30" customHeight="1" x14ac:dyDescent="0.25">
      <c r="B170" s="370" t="str">
        <f>IF(B169&lt;&gt;"",IF($B$123=builder!$U$133,VLOOKUP(B169,styles!$G$137:$J$148,4),IF($B$123=builder!$W$133,VLOOKUP(B169,styles!$B$48:$E$60,4),IF($B$123=builder!$T$133,VLOOKUP(B169,styles!$O$64:$R$76,4),IF($B$123=builder!$Z$133,VLOOKUP(B169,styles!$B$96:$D$104,3),IF($B$123=builder!$AE$133,VLOOKUP(B169,styles!$D$87:$F$91,2),IF($B$123=builder!$X$133,VLOOKUP($B169,styles!$E$114:$F$133,2),"")))))),"")</f>
        <v/>
      </c>
      <c r="C170" s="371"/>
      <c r="D170" s="372"/>
      <c r="E170" s="372"/>
      <c r="F170" s="372"/>
      <c r="G170" s="372"/>
      <c r="H170" s="372"/>
      <c r="I170" s="372"/>
      <c r="J170" s="372"/>
      <c r="K170" s="372"/>
      <c r="L170" s="372"/>
      <c r="M170" s="372"/>
      <c r="N170" s="372"/>
      <c r="O170" s="372"/>
      <c r="P170" s="372"/>
      <c r="Q170" s="372"/>
      <c r="R170" s="372"/>
      <c r="S170" s="373"/>
    </row>
    <row r="171" spans="2:22" x14ac:dyDescent="0.25">
      <c r="B171" s="315" t="str">
        <f>IF('adv shuffle'!K47&lt;&gt;"",'adv shuffle'!K47,"")</f>
        <v/>
      </c>
      <c r="C171" s="316"/>
      <c r="D171" s="316"/>
    </row>
    <row r="172" spans="2:22" s="24" customFormat="1" ht="30" customHeight="1" x14ac:dyDescent="0.25">
      <c r="B172" s="370" t="str">
        <f>IF(B171&lt;&gt;"",IF($B$123=builder!$U$133,VLOOKUP(B171,styles!$G$137:$J$148,4),IF($B$123=builder!$W$133,VLOOKUP(B171,styles!$B$48:$E$60,4),IF($B$123=builder!$T$133,VLOOKUP(B171,styles!$O$64:$R$76,4),IF($B$123=builder!$Z$133,VLOOKUP(B171,styles!$B$96:$D$104,3),IF($B$123=builder!$AE$133,VLOOKUP(B171,styles!$D$87:$F$91,2),IF($B$123=builder!$X$133,VLOOKUP($B171,styles!$E$114:$F$133,2),"")))))),"")</f>
        <v/>
      </c>
      <c r="C172" s="371"/>
      <c r="D172" s="372"/>
      <c r="E172" s="372"/>
      <c r="F172" s="372"/>
      <c r="G172" s="372"/>
      <c r="H172" s="372"/>
      <c r="I172" s="372"/>
      <c r="J172" s="372"/>
      <c r="K172" s="372"/>
      <c r="L172" s="372"/>
      <c r="M172" s="372"/>
      <c r="N172" s="372"/>
      <c r="O172" s="372"/>
      <c r="P172" s="372"/>
      <c r="Q172" s="372"/>
      <c r="R172" s="372"/>
      <c r="S172" s="373"/>
    </row>
    <row r="173" spans="2:22" x14ac:dyDescent="0.25">
      <c r="B173" s="315" t="str">
        <f>IF('adv shuffle'!K48&lt;&gt;"",'adv shuffle'!K48,"")</f>
        <v/>
      </c>
      <c r="C173" s="316"/>
      <c r="D173" s="316"/>
    </row>
    <row r="174" spans="2:22" s="24" customFormat="1" ht="30" customHeight="1" x14ac:dyDescent="0.25">
      <c r="B174" s="370" t="str">
        <f>IF(B173&lt;&gt;"",IF($B$123=builder!$U$133,VLOOKUP(B173,styles!$G$137:$J$148,4),IF($B$123=builder!$W$133,VLOOKUP(B173,styles!$B$48:$E$60,4),IF($B$123=builder!$T$133,VLOOKUP(B173,styles!$O$64:$R$76,4),IF($B$123=builder!$Z$133,VLOOKUP(B173,styles!$B$96:$D$104,3),IF($B$123=builder!$AE$133,VLOOKUP(B173,styles!$D$87:$F$91,2),IF($B$123=builder!$X$133,VLOOKUP($B173,styles!$E$114:$F$133,2),"")))))),"")</f>
        <v/>
      </c>
      <c r="C174" s="371"/>
      <c r="D174" s="372"/>
      <c r="E174" s="372"/>
      <c r="F174" s="372"/>
      <c r="G174" s="372"/>
      <c r="H174" s="372"/>
      <c r="I174" s="372"/>
      <c r="J174" s="372"/>
      <c r="K174" s="372"/>
      <c r="L174" s="372"/>
      <c r="M174" s="372"/>
      <c r="N174" s="372"/>
      <c r="O174" s="372"/>
      <c r="P174" s="372"/>
      <c r="Q174" s="372"/>
      <c r="R174" s="372"/>
      <c r="S174" s="373"/>
    </row>
    <row r="175" spans="2:22" x14ac:dyDescent="0.25">
      <c r="B175" s="315" t="str">
        <f>IF('adv shuffle'!K49&lt;&gt;"",'adv shuffle'!K49,"")</f>
        <v/>
      </c>
      <c r="C175" s="316"/>
      <c r="D175" s="316"/>
    </row>
    <row r="176" spans="2:22" s="24" customFormat="1" ht="30" customHeight="1" x14ac:dyDescent="0.25">
      <c r="B176" s="370" t="str">
        <f>IF(B175&lt;&gt;"",IF($B$123=builder!$U$133,VLOOKUP(B175,styles!$G$137:$J$148,4),IF($B$123=builder!$W$133,VLOOKUP(B175,styles!$B$48:$E$60,4),IF($B$123=builder!$T$133,VLOOKUP(B175,styles!$O$64:$R$76,4),IF($B$123=builder!$Z$133,VLOOKUP(B175,styles!$B$96:$D$104,3),IF($B$123=builder!$AE$133,VLOOKUP(B175,styles!$D$87:$F$91,2),IF($B$123=builder!$X$133,VLOOKUP($B175,styles!$E$114:$F$133,2),"")))))),"")</f>
        <v/>
      </c>
      <c r="C176" s="371"/>
      <c r="D176" s="372"/>
      <c r="E176" s="372"/>
      <c r="F176" s="372"/>
      <c r="G176" s="372"/>
      <c r="H176" s="372"/>
      <c r="I176" s="372"/>
      <c r="J176" s="372"/>
      <c r="K176" s="372"/>
      <c r="L176" s="372"/>
      <c r="M176" s="372"/>
      <c r="N176" s="372"/>
      <c r="O176" s="372"/>
      <c r="P176" s="372"/>
      <c r="Q176" s="372"/>
      <c r="R176" s="372"/>
      <c r="S176" s="373"/>
    </row>
    <row r="177" spans="2:19" x14ac:dyDescent="0.25">
      <c r="B177" s="315" t="str">
        <f>IF('adv shuffle'!K50&lt;&gt;"",'adv shuffle'!K50,"")</f>
        <v/>
      </c>
      <c r="C177" s="316"/>
      <c r="D177" s="316"/>
    </row>
    <row r="178" spans="2:19" s="24" customFormat="1" ht="30" customHeight="1" x14ac:dyDescent="0.25">
      <c r="B178" s="370" t="str">
        <f>IF(B177&lt;&gt;"",IF($B$123=builder!$W$133,VLOOKUP(B177,styles!$B$48:$E$60,4),IF($B$123=builder!$T$133,VLOOKUP(B177,styles!$O$64:$R$76,4),IF($B$123=builder!$Z$133,VLOOKUP(B177,styles!$B$96:$D$104,3),IF($B$123=builder!$AE$133,VLOOKUP(B177,styles!$D$87:$F$91,2),IF($B$123=builder!$X$133,VLOOKUP($B177,styles!$E$114:$F$133,2),""))))),"")</f>
        <v/>
      </c>
      <c r="C178" s="371"/>
      <c r="D178" s="372"/>
      <c r="E178" s="372"/>
      <c r="F178" s="372"/>
      <c r="G178" s="372"/>
      <c r="H178" s="372"/>
      <c r="I178" s="372"/>
      <c r="J178" s="372"/>
      <c r="K178" s="372"/>
      <c r="L178" s="372"/>
      <c r="M178" s="372"/>
      <c r="N178" s="372"/>
      <c r="O178" s="372"/>
      <c r="P178" s="372"/>
      <c r="Q178" s="372"/>
      <c r="R178" s="372"/>
      <c r="S178" s="373"/>
    </row>
    <row r="179" spans="2:19" x14ac:dyDescent="0.25">
      <c r="B179" s="315" t="str">
        <f>IF('adv shuffle'!K51&lt;&gt;"",'adv shuffle'!K51,"")</f>
        <v/>
      </c>
      <c r="C179" s="316"/>
      <c r="D179" s="316"/>
    </row>
    <row r="180" spans="2:19" ht="30" customHeight="1" x14ac:dyDescent="0.25">
      <c r="B180" s="312" t="str">
        <f>IF(B179&lt;&gt;"",IF($B$123=builder!$W$133,VLOOKUP(B179,styles!$B$48:$E$60,4),IF($B$123=builder!$T$133,VLOOKUP(B179,styles!$O$64:$R$76,4),IF($B$123=builder!$Z$133,VLOOKUP(B179,styles!$B$96:$D$104,3),IF($B$123=builder!$AE$133,VLOOKUP(B179,styles!$D$87:$F$91,2),IF($B$123=builder!$X$133,VLOOKUP($B179,styles!$E$114:$F$133,2),""))))),"")</f>
        <v/>
      </c>
      <c r="C180" s="313"/>
      <c r="D180" s="372"/>
      <c r="E180" s="372"/>
      <c r="F180" s="372"/>
      <c r="G180" s="372"/>
      <c r="H180" s="372"/>
      <c r="I180" s="372"/>
      <c r="J180" s="372"/>
      <c r="K180" s="372"/>
      <c r="L180" s="372"/>
      <c r="M180" s="372"/>
      <c r="N180" s="372"/>
      <c r="O180" s="372"/>
      <c r="P180" s="372"/>
      <c r="Q180" s="372"/>
      <c r="R180" s="372"/>
      <c r="S180" s="373"/>
    </row>
    <row r="181" spans="2:19" x14ac:dyDescent="0.25">
      <c r="Q181" s="329">
        <f ca="1">NOW()</f>
        <v>43052.714838425927</v>
      </c>
      <c r="R181" s="329"/>
      <c r="S181" s="329"/>
    </row>
    <row r="182" spans="2:19" ht="15" customHeight="1" x14ac:dyDescent="0.25"/>
    <row r="183" spans="2:19" x14ac:dyDescent="0.25">
      <c r="B183" s="63"/>
      <c r="C183" s="63"/>
      <c r="D183" s="63"/>
      <c r="E183" s="63"/>
      <c r="F183" s="63"/>
      <c r="G183" s="63"/>
      <c r="H183" s="63"/>
      <c r="I183" s="63"/>
      <c r="J183" s="63"/>
      <c r="K183" s="63"/>
      <c r="L183" s="63"/>
      <c r="M183" s="63"/>
      <c r="N183" s="63"/>
      <c r="O183" s="63"/>
      <c r="P183" s="63"/>
      <c r="Q183" s="63"/>
      <c r="R183" s="63"/>
      <c r="S183" s="63"/>
    </row>
  </sheetData>
  <mergeCells count="155">
    <mergeCell ref="B155:D155"/>
    <mergeCell ref="B153:D153"/>
    <mergeCell ref="B179:D179"/>
    <mergeCell ref="B175:D175"/>
    <mergeCell ref="B177:D177"/>
    <mergeCell ref="B163:D163"/>
    <mergeCell ref="B165:D165"/>
    <mergeCell ref="B167:D167"/>
    <mergeCell ref="B169:D169"/>
    <mergeCell ref="B171:D171"/>
    <mergeCell ref="B173:D173"/>
    <mergeCell ref="B154:S154"/>
    <mergeCell ref="N11:O11"/>
    <mergeCell ref="P11:R11"/>
    <mergeCell ref="Q41:R41"/>
    <mergeCell ref="Q43:R43"/>
    <mergeCell ref="B127:O127"/>
    <mergeCell ref="B139:O139"/>
    <mergeCell ref="B137:O137"/>
    <mergeCell ref="B135:O135"/>
    <mergeCell ref="B133:O133"/>
    <mergeCell ref="B131:O131"/>
    <mergeCell ref="B129:O129"/>
    <mergeCell ref="D27:Q27"/>
    <mergeCell ref="R27:S27"/>
    <mergeCell ref="B27:C27"/>
    <mergeCell ref="B118:S118"/>
    <mergeCell ref="E123:O123"/>
    <mergeCell ref="D124:E124"/>
    <mergeCell ref="F124:O124"/>
    <mergeCell ref="B136:S136"/>
    <mergeCell ref="B138:S138"/>
    <mergeCell ref="Q49:S49"/>
    <mergeCell ref="Q100:S100"/>
    <mergeCell ref="B95:S96"/>
    <mergeCell ref="B63:S64"/>
    <mergeCell ref="Q181:S181"/>
    <mergeCell ref="Q119:S119"/>
    <mergeCell ref="B120:S120"/>
    <mergeCell ref="D126:S126"/>
    <mergeCell ref="D152:S152"/>
    <mergeCell ref="B176:S176"/>
    <mergeCell ref="B178:S178"/>
    <mergeCell ref="B180:S180"/>
    <mergeCell ref="B128:S128"/>
    <mergeCell ref="B168:S168"/>
    <mergeCell ref="B170:S170"/>
    <mergeCell ref="B172:S172"/>
    <mergeCell ref="B174:S174"/>
    <mergeCell ref="B156:S156"/>
    <mergeCell ref="B158:S158"/>
    <mergeCell ref="B160:S160"/>
    <mergeCell ref="B162:S162"/>
    <mergeCell ref="B164:S164"/>
    <mergeCell ref="B166:S166"/>
    <mergeCell ref="B161:D161"/>
    <mergeCell ref="B159:D159"/>
    <mergeCell ref="B157:D157"/>
    <mergeCell ref="B122:S122"/>
    <mergeCell ref="B123:C123"/>
    <mergeCell ref="B140:S140"/>
    <mergeCell ref="B130:S130"/>
    <mergeCell ref="B132:S132"/>
    <mergeCell ref="B134:S134"/>
    <mergeCell ref="B108:S108"/>
    <mergeCell ref="B111:S111"/>
    <mergeCell ref="B114:S114"/>
    <mergeCell ref="B116:S116"/>
    <mergeCell ref="B101:S101"/>
    <mergeCell ref="B103:S103"/>
    <mergeCell ref="B105:S105"/>
    <mergeCell ref="B124:C124"/>
    <mergeCell ref="B125:D125"/>
    <mergeCell ref="Q133:S133"/>
    <mergeCell ref="B66:S67"/>
    <mergeCell ref="B53:D53"/>
    <mergeCell ref="B54:S55"/>
    <mergeCell ref="B65:D65"/>
    <mergeCell ref="B85:D85"/>
    <mergeCell ref="B88:D88"/>
    <mergeCell ref="B50:S50"/>
    <mergeCell ref="B57:S58"/>
    <mergeCell ref="B56:D56"/>
    <mergeCell ref="B59:D59"/>
    <mergeCell ref="B62:D62"/>
    <mergeCell ref="B83:S84"/>
    <mergeCell ref="B86:S87"/>
    <mergeCell ref="E23:F23"/>
    <mergeCell ref="E24:F24"/>
    <mergeCell ref="E25:F25"/>
    <mergeCell ref="E26:F26"/>
    <mergeCell ref="L19:O19"/>
    <mergeCell ref="L20:O20"/>
    <mergeCell ref="L21:O21"/>
    <mergeCell ref="L22:O22"/>
    <mergeCell ref="L23:O23"/>
    <mergeCell ref="L24:O24"/>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L26:O26"/>
    <mergeCell ref="E19:F19"/>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B69:S70"/>
    <mergeCell ref="B72:S73"/>
    <mergeCell ref="B77:S78"/>
    <mergeCell ref="B60:S61"/>
    <mergeCell ref="E20:F20"/>
    <mergeCell ref="E21:F21"/>
    <mergeCell ref="E22:F22"/>
    <mergeCell ref="B150:S150"/>
    <mergeCell ref="B141:O141"/>
    <mergeCell ref="B142:S142"/>
    <mergeCell ref="B143:O143"/>
    <mergeCell ref="B144:S144"/>
    <mergeCell ref="B145:O145"/>
    <mergeCell ref="B146:S146"/>
    <mergeCell ref="B147:O147"/>
    <mergeCell ref="B148:S148"/>
    <mergeCell ref="B149:O149"/>
  </mergeCells>
  <conditionalFormatting sqref="B98:S99">
    <cfRule type="notContainsBlanks" dxfId="210"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785" id="{2DA9A1C1-94D2-4030-96E8-0C6D84760FAA}">
            <xm:f>IF(COUNTIF('adv shuffle'!$B$2:$B$23,builder!#REF!)&gt;0,TRUE,FALSE)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topLeftCell="A57" workbookViewId="0">
      <selection activeCell="C72" sqref="C72:X72"/>
    </sheetView>
    <sheetView workbookViewId="1">
      <selection activeCell="AC45" sqref="AC45"/>
    </sheetView>
    <sheetView workbookViewId="2"/>
  </sheetViews>
  <sheetFormatPr defaultRowHeight="15" x14ac:dyDescent="0.25"/>
  <cols>
    <col min="1" max="1" width="1" style="148" customWidth="1"/>
    <col min="2" max="2" width="9.85546875" style="148" customWidth="1"/>
    <col min="3" max="3" width="27.42578125" style="148" customWidth="1"/>
    <col min="4" max="4" width="1.140625" style="148" customWidth="1"/>
    <col min="5" max="5" width="10.140625" style="148" customWidth="1"/>
    <col min="6" max="15" width="1.42578125" style="148" customWidth="1"/>
    <col min="16" max="16" width="4.85546875" style="148" customWidth="1"/>
    <col min="17" max="21" width="1.5703125" style="148" customWidth="1"/>
    <col min="22" max="22" width="2.28515625" style="148" customWidth="1"/>
    <col min="23" max="23" width="1.140625" style="148" customWidth="1"/>
    <col min="24" max="24" width="41.140625" style="148" customWidth="1"/>
    <col min="25" max="25" width="1" style="148" customWidth="1"/>
    <col min="26" max="26" width="3.85546875" style="17" customWidth="1"/>
    <col min="27" max="16384" width="9.140625" style="17"/>
  </cols>
  <sheetData>
    <row r="1" spans="1:25" ht="9.75" customHeight="1" x14ac:dyDescent="0.25">
      <c r="A1" s="153"/>
      <c r="B1" s="153"/>
      <c r="C1" s="153"/>
      <c r="D1" s="153"/>
      <c r="E1" s="153"/>
      <c r="F1" s="153"/>
      <c r="G1" s="153"/>
      <c r="H1" s="153"/>
      <c r="I1" s="153"/>
      <c r="J1" s="153"/>
      <c r="K1" s="153"/>
      <c r="L1" s="153"/>
      <c r="M1" s="153"/>
      <c r="N1" s="153"/>
      <c r="O1" s="153"/>
      <c r="P1" s="153"/>
      <c r="Q1" s="153"/>
      <c r="R1" s="153"/>
      <c r="S1" s="153"/>
      <c r="T1" s="153"/>
      <c r="U1" s="153"/>
      <c r="V1" s="153"/>
      <c r="W1" s="153"/>
      <c r="X1" s="153"/>
      <c r="Y1" s="153"/>
    </row>
    <row r="2" spans="1:25" s="148" customFormat="1" ht="16.5" customHeight="1" x14ac:dyDescent="0.25">
      <c r="A2" s="153"/>
      <c r="B2" s="388" t="s">
        <v>935</v>
      </c>
      <c r="C2" s="388"/>
      <c r="D2" s="153"/>
      <c r="E2" s="388" t="s">
        <v>936</v>
      </c>
      <c r="F2" s="388"/>
      <c r="G2" s="388"/>
      <c r="H2" s="388"/>
      <c r="I2" s="388"/>
      <c r="J2" s="388"/>
      <c r="K2" s="388"/>
      <c r="L2" s="388"/>
      <c r="M2" s="388"/>
      <c r="N2" s="388"/>
      <c r="O2" s="388"/>
      <c r="P2" s="388"/>
      <c r="Q2" s="388"/>
      <c r="R2" s="388"/>
      <c r="S2" s="388"/>
      <c r="T2" s="388"/>
      <c r="U2" s="388"/>
      <c r="V2" s="388"/>
      <c r="W2" s="153"/>
      <c r="X2" s="154" t="s">
        <v>937</v>
      </c>
      <c r="Y2" s="153"/>
    </row>
    <row r="3" spans="1:25" ht="3" customHeight="1" x14ac:dyDescent="0.25">
      <c r="A3" s="153"/>
      <c r="D3" s="153"/>
      <c r="F3" s="19"/>
      <c r="G3" s="19"/>
      <c r="H3" s="19"/>
      <c r="I3" s="19"/>
      <c r="J3" s="19"/>
      <c r="K3" s="19"/>
      <c r="L3" s="19"/>
      <c r="M3" s="19"/>
      <c r="N3" s="19"/>
      <c r="O3" s="19"/>
      <c r="P3" s="19"/>
      <c r="Q3" s="19"/>
      <c r="R3" s="19"/>
      <c r="S3" s="19"/>
      <c r="T3" s="19"/>
      <c r="U3" s="19"/>
      <c r="V3" s="168"/>
      <c r="W3" s="153"/>
      <c r="X3" s="367">
        <f>builder!$B$22</f>
        <v>0</v>
      </c>
      <c r="Y3" s="153"/>
    </row>
    <row r="4" spans="1:25" ht="8.25" customHeight="1" x14ac:dyDescent="0.25">
      <c r="A4" s="153"/>
      <c r="B4" s="389" t="s">
        <v>145</v>
      </c>
      <c r="C4" s="384">
        <f>builder!C2</f>
        <v>0</v>
      </c>
      <c r="D4" s="153"/>
      <c r="E4" s="387" t="s">
        <v>959</v>
      </c>
      <c r="F4" s="387"/>
      <c r="G4" s="387"/>
      <c r="H4" s="387"/>
      <c r="I4" s="387"/>
      <c r="J4" s="387"/>
      <c r="K4" s="20"/>
      <c r="L4" s="20"/>
      <c r="M4" s="155">
        <f>IF(builder!$P10&gt;2,1,0)</f>
        <v>0</v>
      </c>
      <c r="N4" s="155">
        <f>IF(builder!$P10&gt;3,1,0)</f>
        <v>0</v>
      </c>
      <c r="O4" s="155">
        <f>IF(builder!$P10&gt;4,1,0)</f>
        <v>0</v>
      </c>
      <c r="P4" s="19"/>
      <c r="Q4" s="19"/>
      <c r="R4" s="19"/>
      <c r="S4" s="19"/>
      <c r="T4" s="19"/>
      <c r="U4" s="19"/>
      <c r="V4" s="168"/>
      <c r="W4" s="153"/>
      <c r="X4" s="367"/>
      <c r="Y4" s="153"/>
    </row>
    <row r="5" spans="1:25" ht="3" customHeight="1" x14ac:dyDescent="0.25">
      <c r="A5" s="153"/>
      <c r="B5" s="389"/>
      <c r="C5" s="384"/>
      <c r="D5" s="153"/>
      <c r="F5" s="152"/>
      <c r="G5" s="152"/>
      <c r="H5" s="152"/>
      <c r="I5" s="152"/>
      <c r="J5" s="152"/>
      <c r="K5" s="19"/>
      <c r="L5" s="19"/>
      <c r="M5" s="21"/>
      <c r="N5" s="21"/>
      <c r="O5" s="21"/>
      <c r="P5" s="19"/>
      <c r="Q5" s="19"/>
      <c r="R5" s="19"/>
      <c r="S5" s="19"/>
      <c r="T5" s="19"/>
      <c r="U5" s="19"/>
      <c r="V5" s="168"/>
      <c r="W5" s="153"/>
      <c r="X5" s="367"/>
      <c r="Y5" s="153"/>
    </row>
    <row r="6" spans="1:25" ht="3" customHeight="1" x14ac:dyDescent="0.25">
      <c r="A6" s="153"/>
      <c r="B6" s="389"/>
      <c r="C6" s="384"/>
      <c r="D6" s="153"/>
      <c r="F6" s="19"/>
      <c r="G6" s="19"/>
      <c r="H6" s="19"/>
      <c r="I6" s="19"/>
      <c r="J6" s="19"/>
      <c r="K6" s="19"/>
      <c r="L6" s="19"/>
      <c r="M6" s="21"/>
      <c r="N6" s="21"/>
      <c r="O6" s="21"/>
      <c r="P6" s="19"/>
      <c r="Q6" s="19"/>
      <c r="R6" s="19"/>
      <c r="S6" s="19"/>
      <c r="T6" s="19"/>
      <c r="U6" s="19"/>
      <c r="V6" s="168"/>
      <c r="W6" s="153"/>
      <c r="X6" s="386" t="e">
        <f>CONCATENATE("Quirk: ",IF(builder!$N$24&lt;&gt;"",builder!$N$24,builder!$B$24))</f>
        <v>#N/A</v>
      </c>
      <c r="Y6" s="153"/>
    </row>
    <row r="7" spans="1:25" ht="8.25" customHeight="1" x14ac:dyDescent="0.25">
      <c r="A7" s="153"/>
      <c r="B7" s="389" t="s">
        <v>147</v>
      </c>
      <c r="C7" s="384">
        <f>builder!C4</f>
        <v>0</v>
      </c>
      <c r="D7" s="153"/>
      <c r="E7" s="387" t="s">
        <v>960</v>
      </c>
      <c r="F7" s="387"/>
      <c r="G7" s="387"/>
      <c r="H7" s="387"/>
      <c r="I7" s="387"/>
      <c r="J7" s="387"/>
      <c r="K7" s="20"/>
      <c r="L7" s="20"/>
      <c r="M7" s="155">
        <f>IF(builder!$P11&gt;2,1,0)</f>
        <v>0</v>
      </c>
      <c r="N7" s="155">
        <f>IF(builder!$P11&gt;3,1,0)</f>
        <v>0</v>
      </c>
      <c r="O7" s="155">
        <f>IF(builder!$P11&gt;4,1,0)</f>
        <v>0</v>
      </c>
      <c r="P7" s="19"/>
      <c r="Q7" s="19"/>
      <c r="R7" s="19"/>
      <c r="S7" s="19"/>
      <c r="T7" s="19"/>
      <c r="U7" s="19"/>
      <c r="V7" s="168"/>
      <c r="W7" s="153"/>
      <c r="X7" s="386"/>
      <c r="Y7" s="153"/>
    </row>
    <row r="8" spans="1:25" ht="3.75" customHeight="1" x14ac:dyDescent="0.25">
      <c r="A8" s="153"/>
      <c r="B8" s="389"/>
      <c r="C8" s="384"/>
      <c r="D8" s="153"/>
      <c r="F8" s="19"/>
      <c r="G8" s="19"/>
      <c r="H8" s="19"/>
      <c r="I8" s="19"/>
      <c r="J8" s="19"/>
      <c r="K8" s="19"/>
      <c r="L8" s="19"/>
      <c r="M8" s="21"/>
      <c r="N8" s="21"/>
      <c r="O8" s="21"/>
      <c r="P8" s="19"/>
      <c r="Q8" s="19"/>
      <c r="R8" s="19"/>
      <c r="S8" s="19"/>
      <c r="T8" s="19"/>
      <c r="U8" s="19"/>
      <c r="V8" s="168"/>
      <c r="W8" s="153"/>
      <c r="X8" s="386"/>
      <c r="Y8" s="153"/>
    </row>
    <row r="9" spans="1:25" ht="3.75" customHeight="1" x14ac:dyDescent="0.25">
      <c r="A9" s="153"/>
      <c r="B9" s="389"/>
      <c r="C9" s="384"/>
      <c r="D9" s="153"/>
      <c r="F9" s="19"/>
      <c r="G9" s="19"/>
      <c r="H9" s="19"/>
      <c r="I9" s="19"/>
      <c r="J9" s="19"/>
      <c r="K9" s="19"/>
      <c r="L9" s="19"/>
      <c r="M9" s="21"/>
      <c r="N9" s="21"/>
      <c r="O9" s="21"/>
      <c r="P9" s="19"/>
      <c r="Q9" s="19"/>
      <c r="R9" s="19"/>
      <c r="S9" s="19"/>
      <c r="T9" s="19"/>
      <c r="U9" s="19"/>
      <c r="V9" s="168"/>
      <c r="W9" s="153"/>
      <c r="X9" s="386"/>
      <c r="Y9" s="153"/>
    </row>
    <row r="10" spans="1:25" ht="8.25" customHeight="1" x14ac:dyDescent="0.25">
      <c r="A10" s="153"/>
      <c r="B10" s="389" t="s">
        <v>146</v>
      </c>
      <c r="C10" s="384">
        <f>builder!C6</f>
        <v>0</v>
      </c>
      <c r="D10" s="153"/>
      <c r="E10" s="387" t="s">
        <v>961</v>
      </c>
      <c r="F10" s="387"/>
      <c r="G10" s="387"/>
      <c r="H10" s="387"/>
      <c r="I10" s="387"/>
      <c r="J10" s="387"/>
      <c r="K10" s="20"/>
      <c r="L10" s="20"/>
      <c r="M10" s="155">
        <f>IF(builder!$P12&gt;2,1,0)</f>
        <v>0</v>
      </c>
      <c r="N10" s="155">
        <f>IF(builder!$P12&gt;3,1,0)</f>
        <v>0</v>
      </c>
      <c r="O10" s="155">
        <f>IF(builder!$P12&gt;4,1,0)</f>
        <v>0</v>
      </c>
      <c r="P10" s="19"/>
      <c r="Q10" s="19"/>
      <c r="R10" s="19"/>
      <c r="S10" s="19"/>
      <c r="T10" s="19"/>
      <c r="U10" s="19"/>
      <c r="V10" s="168"/>
      <c r="W10" s="153"/>
      <c r="X10" s="386"/>
      <c r="Y10" s="153"/>
    </row>
    <row r="11" spans="1:25" ht="2.25" customHeight="1" x14ac:dyDescent="0.25">
      <c r="A11" s="153"/>
      <c r="B11" s="389"/>
      <c r="C11" s="384"/>
      <c r="D11" s="153"/>
      <c r="F11" s="19"/>
      <c r="G11" s="19"/>
      <c r="H11" s="19"/>
      <c r="I11" s="19"/>
      <c r="J11" s="19"/>
      <c r="K11" s="19"/>
      <c r="L11" s="19"/>
      <c r="M11" s="21"/>
      <c r="N11" s="21"/>
      <c r="O11" s="21"/>
      <c r="P11" s="19"/>
      <c r="Q11" s="19"/>
      <c r="R11" s="19"/>
      <c r="S11" s="19"/>
      <c r="T11" s="19"/>
      <c r="U11" s="19"/>
      <c r="V11" s="168"/>
      <c r="W11" s="153"/>
      <c r="X11" s="367">
        <f>builder!$F$22</f>
        <v>0</v>
      </c>
      <c r="Y11" s="153"/>
    </row>
    <row r="12" spans="1:25" ht="3.75" customHeight="1" x14ac:dyDescent="0.25">
      <c r="A12" s="153"/>
      <c r="B12" s="389"/>
      <c r="C12" s="384"/>
      <c r="D12" s="153"/>
      <c r="F12" s="19"/>
      <c r="G12" s="19"/>
      <c r="H12" s="19"/>
      <c r="I12" s="19"/>
      <c r="J12" s="19"/>
      <c r="K12" s="19"/>
      <c r="L12" s="19"/>
      <c r="M12" s="21"/>
      <c r="N12" s="21"/>
      <c r="O12" s="21"/>
      <c r="P12" s="19"/>
      <c r="Q12" s="19"/>
      <c r="R12" s="19"/>
      <c r="S12" s="19"/>
      <c r="T12" s="19"/>
      <c r="U12" s="19"/>
      <c r="V12" s="168"/>
      <c r="W12" s="153"/>
      <c r="X12" s="367"/>
      <c r="Y12" s="153"/>
    </row>
    <row r="13" spans="1:25" ht="8.25" customHeight="1" x14ac:dyDescent="0.25">
      <c r="A13" s="153"/>
      <c r="B13" s="389" t="s">
        <v>111</v>
      </c>
      <c r="C13" s="384">
        <f>builder!B17</f>
        <v>0</v>
      </c>
      <c r="D13" s="153"/>
      <c r="E13" s="387" t="s">
        <v>962</v>
      </c>
      <c r="F13" s="387"/>
      <c r="G13" s="387"/>
      <c r="H13" s="387"/>
      <c r="I13" s="387"/>
      <c r="J13" s="387"/>
      <c r="K13" s="20"/>
      <c r="L13" s="20"/>
      <c r="M13" s="155">
        <f>IF(builder!$P13&gt;2,1,0)</f>
        <v>0</v>
      </c>
      <c r="N13" s="155">
        <f>IF(builder!$P13&gt;3,1,0)</f>
        <v>0</v>
      </c>
      <c r="O13" s="155">
        <f>IF(builder!$P13&gt;4,1,0)</f>
        <v>0</v>
      </c>
      <c r="P13" s="19"/>
      <c r="Q13" s="19"/>
      <c r="R13" s="19"/>
      <c r="S13" s="19"/>
      <c r="T13" s="19"/>
      <c r="U13" s="19"/>
      <c r="V13" s="168"/>
      <c r="W13" s="153"/>
      <c r="X13" s="367"/>
      <c r="Y13" s="153"/>
    </row>
    <row r="14" spans="1:25" ht="5.25" customHeight="1" x14ac:dyDescent="0.25">
      <c r="A14" s="153"/>
      <c r="B14" s="389"/>
      <c r="C14" s="384"/>
      <c r="D14" s="153"/>
      <c r="F14" s="19"/>
      <c r="G14" s="19"/>
      <c r="H14" s="19"/>
      <c r="I14" s="19"/>
      <c r="J14" s="19"/>
      <c r="K14" s="19"/>
      <c r="L14" s="19"/>
      <c r="M14" s="21"/>
      <c r="N14" s="21"/>
      <c r="O14" s="21"/>
      <c r="P14" s="19"/>
      <c r="Q14" s="19"/>
      <c r="R14" s="19"/>
      <c r="S14" s="19"/>
      <c r="T14" s="19"/>
      <c r="U14" s="19"/>
      <c r="V14" s="168"/>
      <c r="W14" s="153"/>
      <c r="X14" s="386" t="e">
        <f>CONCATENATE("Quirk: ",IF(builder!$N$28&lt;&gt;"",builder!$N$28,builder!$F$24))</f>
        <v>#N/A</v>
      </c>
      <c r="Y14" s="153"/>
    </row>
    <row r="15" spans="1:25" ht="8.25" customHeight="1" x14ac:dyDescent="0.25">
      <c r="A15" s="153"/>
      <c r="B15" s="383" t="s">
        <v>148</v>
      </c>
      <c r="C15" s="384">
        <f>builder!F89</f>
        <v>0</v>
      </c>
      <c r="D15" s="153"/>
      <c r="E15" s="387" t="s">
        <v>963</v>
      </c>
      <c r="F15" s="387"/>
      <c r="G15" s="387"/>
      <c r="H15" s="387"/>
      <c r="I15" s="387"/>
      <c r="J15" s="387"/>
      <c r="K15" s="20"/>
      <c r="L15" s="20"/>
      <c r="M15" s="155">
        <f>IF(builder!$P14&gt;2,1,0)</f>
        <v>0</v>
      </c>
      <c r="N15" s="155">
        <f>IF(builder!$P14&gt;3,1,0)</f>
        <v>0</v>
      </c>
      <c r="O15" s="155">
        <f>IF(builder!$P14&gt;4,1,0)</f>
        <v>0</v>
      </c>
      <c r="P15" s="19"/>
      <c r="Q15" s="19"/>
      <c r="R15" s="19"/>
      <c r="S15" s="19"/>
      <c r="T15" s="19"/>
      <c r="U15" s="19"/>
      <c r="V15" s="168"/>
      <c r="W15" s="153"/>
      <c r="X15" s="386"/>
      <c r="Y15" s="153"/>
    </row>
    <row r="16" spans="1:25" ht="6" customHeight="1" x14ac:dyDescent="0.25">
      <c r="A16" s="153"/>
      <c r="B16" s="383"/>
      <c r="C16" s="384"/>
      <c r="D16" s="153"/>
      <c r="F16" s="19"/>
      <c r="G16" s="19"/>
      <c r="H16" s="19"/>
      <c r="I16" s="19"/>
      <c r="J16" s="19"/>
      <c r="K16" s="19"/>
      <c r="L16" s="19"/>
      <c r="M16" s="19"/>
      <c r="N16" s="19"/>
      <c r="O16" s="19"/>
      <c r="P16" s="19"/>
      <c r="Q16" s="19"/>
      <c r="R16" s="19"/>
      <c r="S16" s="19"/>
      <c r="T16" s="19"/>
      <c r="U16" s="19"/>
      <c r="V16" s="168"/>
      <c r="W16" s="153"/>
      <c r="X16" s="386"/>
      <c r="Y16" s="153"/>
    </row>
    <row r="17" spans="1:25" ht="7.5" customHeight="1" x14ac:dyDescent="0.25">
      <c r="A17" s="153"/>
      <c r="B17" s="385" t="s">
        <v>133</v>
      </c>
      <c r="C17" s="384">
        <f>builder!B89</f>
        <v>0</v>
      </c>
      <c r="D17" s="153"/>
      <c r="F17" s="19"/>
      <c r="G17" s="19"/>
      <c r="H17" s="19"/>
      <c r="I17" s="19"/>
      <c r="J17" s="19"/>
      <c r="K17" s="19"/>
      <c r="L17" s="19"/>
      <c r="M17" s="19"/>
      <c r="N17" s="19"/>
      <c r="O17" s="19"/>
      <c r="P17" s="19"/>
      <c r="Q17" s="19"/>
      <c r="R17" s="19"/>
      <c r="S17" s="19"/>
      <c r="T17" s="19"/>
      <c r="U17" s="19"/>
      <c r="V17" s="168"/>
      <c r="W17" s="153"/>
      <c r="X17" s="386"/>
      <c r="Y17" s="153"/>
    </row>
    <row r="18" spans="1:25" ht="5.25" customHeight="1" x14ac:dyDescent="0.25">
      <c r="A18" s="153"/>
      <c r="B18" s="385"/>
      <c r="C18" s="384"/>
      <c r="D18" s="153"/>
      <c r="E18" s="153"/>
      <c r="F18" s="153"/>
      <c r="G18" s="153"/>
      <c r="H18" s="153"/>
      <c r="I18" s="153"/>
      <c r="J18" s="153"/>
      <c r="K18" s="153"/>
      <c r="L18" s="153"/>
      <c r="M18" s="153"/>
      <c r="N18" s="153"/>
      <c r="O18" s="153"/>
      <c r="P18" s="153"/>
      <c r="Q18" s="153"/>
      <c r="R18" s="153"/>
      <c r="S18" s="153"/>
      <c r="T18" s="153"/>
      <c r="U18" s="153"/>
      <c r="V18" s="153"/>
      <c r="W18" s="153"/>
      <c r="X18" s="153"/>
      <c r="Y18" s="153"/>
    </row>
    <row r="19" spans="1:25" ht="14.25" customHeight="1" x14ac:dyDescent="0.25">
      <c r="A19" s="153"/>
      <c r="B19" s="385"/>
      <c r="C19" s="384"/>
      <c r="D19" s="153"/>
      <c r="E19" s="388" t="s">
        <v>939</v>
      </c>
      <c r="F19" s="388"/>
      <c r="G19" s="388"/>
      <c r="H19" s="388"/>
      <c r="I19" s="388"/>
      <c r="J19" s="388"/>
      <c r="K19" s="388"/>
      <c r="L19" s="388"/>
      <c r="M19" s="388"/>
      <c r="N19" s="388"/>
      <c r="O19" s="388"/>
      <c r="P19" s="388"/>
      <c r="Q19" s="388"/>
      <c r="R19" s="388"/>
      <c r="S19" s="388"/>
      <c r="T19" s="388"/>
      <c r="U19" s="388"/>
      <c r="V19" s="388"/>
      <c r="W19" s="153"/>
      <c r="X19" s="154" t="s">
        <v>940</v>
      </c>
      <c r="Y19" s="153"/>
    </row>
    <row r="20" spans="1:25" ht="4.5" customHeight="1" x14ac:dyDescent="0.25">
      <c r="A20" s="153"/>
      <c r="B20" s="389" t="s">
        <v>377</v>
      </c>
      <c r="C20" s="392">
        <f>builder!G92</f>
        <v>0</v>
      </c>
      <c r="D20" s="153"/>
      <c r="F20" s="19"/>
      <c r="G20" s="19"/>
      <c r="H20" s="19"/>
      <c r="I20" s="19"/>
      <c r="J20" s="19"/>
      <c r="K20" s="19"/>
      <c r="L20" s="19"/>
      <c r="M20" s="19"/>
      <c r="N20" s="19"/>
      <c r="O20" s="19"/>
      <c r="P20" s="19"/>
      <c r="Q20" s="19"/>
      <c r="R20" s="19"/>
      <c r="S20" s="19"/>
      <c r="T20" s="19"/>
      <c r="U20" s="19"/>
      <c r="W20" s="153"/>
      <c r="Y20" s="153"/>
    </row>
    <row r="21" spans="1:25" ht="8.25" customHeight="1" x14ac:dyDescent="0.25">
      <c r="A21" s="153"/>
      <c r="B21" s="389"/>
      <c r="C21" s="392"/>
      <c r="D21" s="153"/>
      <c r="E21" s="156" t="s">
        <v>951</v>
      </c>
      <c r="F21" s="155">
        <f>IF(builder!$O$42&gt;0,1,0)</f>
        <v>0</v>
      </c>
      <c r="G21" s="155">
        <f>IF(builder!$O$42&gt;1,1,0)</f>
        <v>0</v>
      </c>
      <c r="H21" s="155">
        <f>IF(builder!$O$42&gt;2,1,0)</f>
        <v>0</v>
      </c>
      <c r="I21" s="155">
        <f>IF(builder!$O$42&gt;3,1,0)</f>
        <v>0</v>
      </c>
      <c r="J21" s="155">
        <f>IF(builder!$O$42&gt;4,1,0)</f>
        <v>0</v>
      </c>
      <c r="K21" s="21"/>
      <c r="L21" s="382" t="s">
        <v>950</v>
      </c>
      <c r="M21" s="382"/>
      <c r="N21" s="382"/>
      <c r="O21" s="382"/>
      <c r="P21" s="382"/>
      <c r="Q21" s="155">
        <f>IF(builder!$O$50&gt;0,1,0)</f>
        <v>0</v>
      </c>
      <c r="R21" s="155">
        <f>IF(builder!$O$50&gt;1,1,0)</f>
        <v>0</v>
      </c>
      <c r="S21" s="155">
        <f>IF(builder!$O$50&gt;2,1,0)</f>
        <v>0</v>
      </c>
      <c r="T21" s="155">
        <f>IF(builder!$O$50&gt;3,1,0)</f>
        <v>0</v>
      </c>
      <c r="U21" s="155">
        <f>IF(builder!$O$50&gt;4,1,0)</f>
        <v>0</v>
      </c>
      <c r="W21" s="153"/>
      <c r="X21" s="367" t="str">
        <f>'adv shuffle'!$N$2</f>
        <v/>
      </c>
      <c r="Y21" s="153"/>
    </row>
    <row r="22" spans="1:25" ht="6" customHeight="1" x14ac:dyDescent="0.25">
      <c r="A22" s="153"/>
      <c r="B22" s="153"/>
      <c r="C22" s="153"/>
      <c r="D22" s="153"/>
      <c r="E22" s="157"/>
      <c r="F22" s="21"/>
      <c r="G22" s="21"/>
      <c r="H22" s="21"/>
      <c r="I22" s="21"/>
      <c r="J22" s="21"/>
      <c r="K22" s="21"/>
      <c r="L22" s="158"/>
      <c r="M22" s="158"/>
      <c r="N22" s="158"/>
      <c r="O22" s="158"/>
      <c r="P22" s="158"/>
      <c r="Q22" s="21"/>
      <c r="R22" s="21"/>
      <c r="S22" s="21"/>
      <c r="T22" s="21"/>
      <c r="U22" s="21"/>
      <c r="W22" s="153"/>
      <c r="X22" s="367"/>
      <c r="Y22" s="153"/>
    </row>
    <row r="23" spans="1:25" ht="8.25" customHeight="1" x14ac:dyDescent="0.25">
      <c r="A23" s="153"/>
      <c r="B23" s="388" t="s">
        <v>938</v>
      </c>
      <c r="C23" s="388"/>
      <c r="D23" s="153"/>
      <c r="E23" s="156" t="s">
        <v>952</v>
      </c>
      <c r="F23" s="155">
        <f>IF(builder!$O$43&gt;0,1,0)</f>
        <v>0</v>
      </c>
      <c r="G23" s="155">
        <f>IF(builder!$O$43&gt;1,1,0)</f>
        <v>0</v>
      </c>
      <c r="H23" s="155">
        <f>IF(builder!$O$43&gt;2,1,0)</f>
        <v>0</v>
      </c>
      <c r="I23" s="155">
        <f>IF(builder!$O$43&gt;3,1,0)</f>
        <v>0</v>
      </c>
      <c r="J23" s="155">
        <f>IF(builder!$O$43&gt;4,1,0)</f>
        <v>0</v>
      </c>
      <c r="K23" s="21"/>
      <c r="L23" s="382" t="s">
        <v>949</v>
      </c>
      <c r="M23" s="382"/>
      <c r="N23" s="382"/>
      <c r="O23" s="382"/>
      <c r="P23" s="382"/>
      <c r="Q23" s="155">
        <f>IF(builder!$O$51&gt;0,1,0)</f>
        <v>0</v>
      </c>
      <c r="R23" s="155">
        <f>IF(builder!$O$51&gt;1,1,0)</f>
        <v>0</v>
      </c>
      <c r="S23" s="155">
        <f>IF(builder!$O$51&gt;2,1,0)</f>
        <v>0</v>
      </c>
      <c r="T23" s="155">
        <f>IF(builder!$O$51&gt;3,1,0)</f>
        <v>0</v>
      </c>
      <c r="U23" s="155">
        <f>IF(builder!$O$51&gt;4,1,0)</f>
        <v>0</v>
      </c>
      <c r="W23" s="153"/>
      <c r="X23" s="367"/>
      <c r="Y23" s="153"/>
    </row>
    <row r="24" spans="1:25" ht="6" customHeight="1" x14ac:dyDescent="0.25">
      <c r="A24" s="153"/>
      <c r="B24" s="388"/>
      <c r="C24" s="388"/>
      <c r="D24" s="153"/>
      <c r="E24" s="157"/>
      <c r="F24" s="21"/>
      <c r="G24" s="21"/>
      <c r="H24" s="21"/>
      <c r="I24" s="21"/>
      <c r="J24" s="21"/>
      <c r="K24" s="21"/>
      <c r="L24" s="158"/>
      <c r="M24" s="158"/>
      <c r="N24" s="158"/>
      <c r="O24" s="158"/>
      <c r="P24" s="158"/>
      <c r="Q24" s="21"/>
      <c r="R24" s="21"/>
      <c r="S24" s="21"/>
      <c r="T24" s="21"/>
      <c r="U24" s="21"/>
      <c r="W24" s="153"/>
      <c r="X24" s="367" t="str">
        <f>'adv shuffle'!$N$3</f>
        <v/>
      </c>
      <c r="Y24" s="153"/>
    </row>
    <row r="25" spans="1:25" ht="8.25" customHeight="1" x14ac:dyDescent="0.25">
      <c r="A25" s="153"/>
      <c r="B25" s="367" t="s">
        <v>130</v>
      </c>
      <c r="C25" s="367" t="str">
        <f>CONCATENATE(IF(builder!$O$99&lt;&gt;"",builder!$O$99,builder!$C$99)," (",IF(builder!$O$99&lt;&gt;"",builder!$O$100,builder!$E$99),")")</f>
        <v xml:space="preserve"> ()</v>
      </c>
      <c r="D25" s="153"/>
      <c r="E25" s="156" t="s">
        <v>953</v>
      </c>
      <c r="F25" s="155">
        <f>IF(builder!$O$44&gt;0,1,0)</f>
        <v>0</v>
      </c>
      <c r="G25" s="155">
        <f>IF(builder!$O$44&gt;1,1,0)</f>
        <v>0</v>
      </c>
      <c r="H25" s="155">
        <f>IF(builder!$O$44&gt;2,1,0)</f>
        <v>0</v>
      </c>
      <c r="I25" s="155">
        <f>IF(builder!$O$44&gt;3,1,0)</f>
        <v>0</v>
      </c>
      <c r="J25" s="155">
        <f>IF(builder!$O$44&gt;4,1,0)</f>
        <v>0</v>
      </c>
      <c r="K25" s="21"/>
      <c r="L25" s="382" t="s">
        <v>948</v>
      </c>
      <c r="M25" s="382"/>
      <c r="N25" s="382"/>
      <c r="O25" s="382"/>
      <c r="P25" s="382"/>
      <c r="Q25" s="155">
        <f>IF(builder!$O$52&gt;0,1,0)</f>
        <v>0</v>
      </c>
      <c r="R25" s="155">
        <f>IF(builder!$O$52&gt;1,1,0)</f>
        <v>0</v>
      </c>
      <c r="S25" s="155">
        <f>IF(builder!$O$52&gt;2,1,0)</f>
        <v>0</v>
      </c>
      <c r="T25" s="155">
        <f>IF(builder!$O$52&gt;3,1,0)</f>
        <v>0</v>
      </c>
      <c r="U25" s="155">
        <f>IF(builder!$O$52&gt;4,1,0)</f>
        <v>0</v>
      </c>
      <c r="W25" s="153"/>
      <c r="X25" s="367"/>
      <c r="Y25" s="153"/>
    </row>
    <row r="26" spans="1:25" ht="6.75" customHeight="1" x14ac:dyDescent="0.25">
      <c r="A26" s="153"/>
      <c r="B26" s="367"/>
      <c r="C26" s="367"/>
      <c r="D26" s="153"/>
      <c r="E26" s="157"/>
      <c r="F26" s="21"/>
      <c r="G26" s="21"/>
      <c r="H26" s="21"/>
      <c r="I26" s="21"/>
      <c r="J26" s="21"/>
      <c r="K26" s="21"/>
      <c r="L26" s="158"/>
      <c r="M26" s="158"/>
      <c r="N26" s="158"/>
      <c r="O26" s="158"/>
      <c r="P26" s="158"/>
      <c r="Q26" s="21"/>
      <c r="R26" s="21"/>
      <c r="S26" s="21"/>
      <c r="T26" s="21"/>
      <c r="U26" s="21"/>
      <c r="W26" s="153"/>
      <c r="X26" s="367"/>
      <c r="Y26" s="153"/>
    </row>
    <row r="27" spans="1:25" ht="8.25" customHeight="1" x14ac:dyDescent="0.25">
      <c r="A27" s="153"/>
      <c r="B27" s="390" t="e">
        <f>print!B12</f>
        <v>#N/A</v>
      </c>
      <c r="C27" s="390"/>
      <c r="D27" s="153"/>
      <c r="E27" s="156" t="s">
        <v>954</v>
      </c>
      <c r="F27" s="155">
        <f>IF(builder!$O$45&gt;0,1,0)</f>
        <v>0</v>
      </c>
      <c r="G27" s="155">
        <f>IF(builder!$O$45&gt;1,1,0)</f>
        <v>0</v>
      </c>
      <c r="H27" s="155">
        <f>IF(builder!$O$45&gt;2,1,0)</f>
        <v>0</v>
      </c>
      <c r="I27" s="155">
        <f>IF(builder!$O$45&gt;3,1,0)</f>
        <v>0</v>
      </c>
      <c r="J27" s="155">
        <f>IF(builder!$O$45&gt;4,1,0)</f>
        <v>0</v>
      </c>
      <c r="K27" s="17"/>
      <c r="L27" s="382" t="s">
        <v>947</v>
      </c>
      <c r="M27" s="382"/>
      <c r="N27" s="382"/>
      <c r="O27" s="382"/>
      <c r="P27" s="382"/>
      <c r="Q27" s="155">
        <f>IF(builder!$O$53&gt;0,1,0)</f>
        <v>0</v>
      </c>
      <c r="R27" s="155">
        <f>IF(builder!$O$53&gt;1,1,0)</f>
        <v>0</v>
      </c>
      <c r="S27" s="155">
        <f>IF(builder!$O$53&gt;2,1,0)</f>
        <v>0</v>
      </c>
      <c r="T27" s="155">
        <f>IF(builder!$O$53&gt;3,1,0)</f>
        <v>0</v>
      </c>
      <c r="U27" s="155">
        <f>IF(builder!$O$53&gt;4,1,0)</f>
        <v>0</v>
      </c>
      <c r="W27" s="153"/>
      <c r="X27" s="367" t="str">
        <f>'adv shuffle'!$N$4</f>
        <v/>
      </c>
      <c r="Y27" s="153"/>
    </row>
    <row r="28" spans="1:25" ht="6.75" customHeight="1" x14ac:dyDescent="0.25">
      <c r="A28" s="153"/>
      <c r="B28" s="390"/>
      <c r="C28" s="390"/>
      <c r="D28" s="153"/>
      <c r="E28" s="157"/>
      <c r="F28" s="21"/>
      <c r="G28" s="21"/>
      <c r="H28" s="21"/>
      <c r="I28" s="21"/>
      <c r="J28" s="21"/>
      <c r="K28" s="21"/>
      <c r="L28" s="158"/>
      <c r="M28" s="158"/>
      <c r="N28" s="158"/>
      <c r="O28" s="158"/>
      <c r="P28" s="158"/>
      <c r="Q28" s="21"/>
      <c r="R28" s="21"/>
      <c r="S28" s="21"/>
      <c r="T28" s="21"/>
      <c r="U28" s="21"/>
      <c r="W28" s="153"/>
      <c r="X28" s="367"/>
      <c r="Y28" s="153"/>
    </row>
    <row r="29" spans="1:25" ht="8.25" customHeight="1" x14ac:dyDescent="0.25">
      <c r="A29" s="153"/>
      <c r="B29" s="390"/>
      <c r="C29" s="390"/>
      <c r="D29" s="153"/>
      <c r="E29" s="156" t="s">
        <v>955</v>
      </c>
      <c r="F29" s="155">
        <f>IF(builder!$O$46&gt;0,1,0)</f>
        <v>0</v>
      </c>
      <c r="G29" s="155">
        <f>IF(builder!$O$46&gt;1,1,0)</f>
        <v>0</v>
      </c>
      <c r="H29" s="155">
        <f>IF(builder!$O$46&gt;2,1,0)</f>
        <v>0</v>
      </c>
      <c r="I29" s="155">
        <f>IF(builder!$O$46&gt;3,1,0)</f>
        <v>0</v>
      </c>
      <c r="J29" s="155">
        <f>IF(builder!$O$46&gt;4,1,0)</f>
        <v>0</v>
      </c>
      <c r="K29" s="21"/>
      <c r="L29" s="382" t="s">
        <v>946</v>
      </c>
      <c r="M29" s="382"/>
      <c r="N29" s="382"/>
      <c r="O29" s="382"/>
      <c r="P29" s="382"/>
      <c r="Q29" s="155">
        <f>IF(builder!$O$54&gt;0,1,0)</f>
        <v>0</v>
      </c>
      <c r="R29" s="155">
        <f>IF(builder!$O$54&gt;1,1,0)</f>
        <v>0</v>
      </c>
      <c r="S29" s="155">
        <f>IF(builder!$O$54&gt;2,1,0)</f>
        <v>0</v>
      </c>
      <c r="T29" s="155">
        <f>IF(builder!$O$54&gt;3,1,0)</f>
        <v>0</v>
      </c>
      <c r="U29" s="155">
        <f>IF(builder!$O$54&gt;4,1,0)</f>
        <v>0</v>
      </c>
      <c r="W29" s="153"/>
      <c r="X29" s="367"/>
      <c r="Y29" s="153"/>
    </row>
    <row r="30" spans="1:25" ht="6.75" customHeight="1" x14ac:dyDescent="0.25">
      <c r="A30" s="153"/>
      <c r="B30" s="390"/>
      <c r="C30" s="390"/>
      <c r="D30" s="153"/>
      <c r="E30" s="157"/>
      <c r="F30" s="21"/>
      <c r="G30" s="21"/>
      <c r="H30" s="21"/>
      <c r="I30" s="21"/>
      <c r="J30" s="21"/>
      <c r="K30" s="21"/>
      <c r="L30" s="158"/>
      <c r="M30" s="158"/>
      <c r="N30" s="158"/>
      <c r="O30" s="158"/>
      <c r="P30" s="158"/>
      <c r="Q30" s="21"/>
      <c r="R30" s="21"/>
      <c r="S30" s="21"/>
      <c r="T30" s="21"/>
      <c r="U30" s="21"/>
      <c r="W30" s="153"/>
      <c r="X30" s="367" t="str">
        <f>'adv shuffle'!$N$5</f>
        <v/>
      </c>
      <c r="Y30" s="153"/>
    </row>
    <row r="31" spans="1:25" ht="8.25" customHeight="1" x14ac:dyDescent="0.25">
      <c r="A31" s="153"/>
      <c r="B31" s="390"/>
      <c r="C31" s="390"/>
      <c r="D31" s="153"/>
      <c r="E31" s="156" t="s">
        <v>956</v>
      </c>
      <c r="F31" s="155">
        <f>IF(builder!$O$47&gt;0,1,0)</f>
        <v>0</v>
      </c>
      <c r="G31" s="155">
        <f>IF(builder!$O$47&gt;1,1,0)</f>
        <v>0</v>
      </c>
      <c r="H31" s="155">
        <f>IF(builder!$O$47&gt;2,1,0)</f>
        <v>0</v>
      </c>
      <c r="I31" s="155">
        <f>IF(builder!$O$47&gt;3,1,0)</f>
        <v>0</v>
      </c>
      <c r="J31" s="155">
        <f>IF(builder!$O$47&gt;4,1,0)</f>
        <v>0</v>
      </c>
      <c r="K31" s="21"/>
      <c r="L31" s="382" t="s">
        <v>945</v>
      </c>
      <c r="M31" s="382"/>
      <c r="N31" s="382"/>
      <c r="O31" s="382"/>
      <c r="P31" s="382"/>
      <c r="Q31" s="155">
        <f>IF(builder!$O$55&gt;0,1,0)</f>
        <v>0</v>
      </c>
      <c r="R31" s="155">
        <f>IF(builder!$O$55&gt;1,1,0)</f>
        <v>0</v>
      </c>
      <c r="S31" s="155">
        <f>IF(builder!$O$55&gt;2,1,0)</f>
        <v>0</v>
      </c>
      <c r="T31" s="155">
        <f>IF(builder!$O$55&gt;3,1,0)</f>
        <v>0</v>
      </c>
      <c r="U31" s="155">
        <f>IF(builder!$O$55&gt;4,1,0)</f>
        <v>0</v>
      </c>
      <c r="W31" s="153"/>
      <c r="X31" s="367"/>
      <c r="Y31" s="153"/>
    </row>
    <row r="32" spans="1:25" ht="6" customHeight="1" x14ac:dyDescent="0.25">
      <c r="A32" s="153"/>
      <c r="B32" s="367" t="s">
        <v>131</v>
      </c>
      <c r="C32" s="367" t="str">
        <f>CONCATENATE(IF(builder!$O$102&lt;&gt;"",builder!$O$102,builder!$C$100)," (",IF(builder!$O$102&lt;&gt;"",builder!$O$76,builder!$E$100),")")</f>
        <v xml:space="preserve"> ()</v>
      </c>
      <c r="D32" s="153"/>
      <c r="E32" s="157"/>
      <c r="F32" s="21"/>
      <c r="G32" s="21"/>
      <c r="H32" s="21"/>
      <c r="I32" s="21"/>
      <c r="J32" s="21"/>
      <c r="K32" s="21"/>
      <c r="L32" s="158"/>
      <c r="M32" s="158"/>
      <c r="N32" s="158"/>
      <c r="O32" s="158"/>
      <c r="P32" s="158"/>
      <c r="Q32" s="21"/>
      <c r="R32" s="21"/>
      <c r="S32" s="21"/>
      <c r="T32" s="21"/>
      <c r="U32" s="21"/>
      <c r="W32" s="153"/>
      <c r="X32" s="367"/>
      <c r="Y32" s="153"/>
    </row>
    <row r="33" spans="1:25" ht="8.25" customHeight="1" x14ac:dyDescent="0.25">
      <c r="A33" s="153"/>
      <c r="B33" s="367"/>
      <c r="C33" s="367"/>
      <c r="D33" s="153"/>
      <c r="E33" s="156" t="s">
        <v>957</v>
      </c>
      <c r="F33" s="155">
        <f>IF(builder!$O$48&gt;0,1,0)</f>
        <v>0</v>
      </c>
      <c r="G33" s="155">
        <f>IF(builder!$O$48&gt;1,1,0)</f>
        <v>0</v>
      </c>
      <c r="H33" s="155">
        <f>IF(builder!$O$48&gt;2,1,0)</f>
        <v>0</v>
      </c>
      <c r="I33" s="155">
        <f>IF(builder!$O$48&gt;3,1,0)</f>
        <v>0</v>
      </c>
      <c r="J33" s="155">
        <f>IF(builder!$O$48&gt;4,1,0)</f>
        <v>0</v>
      </c>
      <c r="K33" s="21"/>
      <c r="L33" s="382" t="s">
        <v>944</v>
      </c>
      <c r="M33" s="382"/>
      <c r="N33" s="382"/>
      <c r="O33" s="382"/>
      <c r="P33" s="382"/>
      <c r="Q33" s="155">
        <f>IF(builder!$O$56&gt;0,1,0)</f>
        <v>0</v>
      </c>
      <c r="R33" s="155">
        <f>IF(builder!$O$56&gt;1,1,0)</f>
        <v>0</v>
      </c>
      <c r="S33" s="155">
        <f>IF(builder!$O$56&gt;2,1,0)</f>
        <v>0</v>
      </c>
      <c r="T33" s="155">
        <f>IF(builder!$O$56&gt;3,1,0)</f>
        <v>0</v>
      </c>
      <c r="U33" s="155">
        <f>IF(builder!$O$56&gt;4,1,0)</f>
        <v>0</v>
      </c>
      <c r="W33" s="153"/>
      <c r="X33" s="367" t="str">
        <f>'adv shuffle'!$N$6</f>
        <v/>
      </c>
      <c r="Y33" s="153"/>
    </row>
    <row r="34" spans="1:25" ht="6.75" customHeight="1" x14ac:dyDescent="0.25">
      <c r="A34" s="153"/>
      <c r="B34" s="367"/>
      <c r="C34" s="367"/>
      <c r="D34" s="153"/>
      <c r="E34" s="157"/>
      <c r="F34" s="21"/>
      <c r="G34" s="21"/>
      <c r="H34" s="21"/>
      <c r="I34" s="21"/>
      <c r="J34" s="21"/>
      <c r="K34" s="21"/>
      <c r="L34" s="158"/>
      <c r="M34" s="158"/>
      <c r="N34" s="158"/>
      <c r="O34" s="158"/>
      <c r="P34" s="158"/>
      <c r="Q34" s="21"/>
      <c r="R34" s="21"/>
      <c r="S34" s="21"/>
      <c r="T34" s="21"/>
      <c r="U34" s="21"/>
      <c r="W34" s="153"/>
      <c r="X34" s="367"/>
      <c r="Y34" s="153"/>
    </row>
    <row r="35" spans="1:25" ht="8.25" customHeight="1" x14ac:dyDescent="0.25">
      <c r="A35" s="153"/>
      <c r="B35" s="390" t="e">
        <f>print!B15</f>
        <v>#N/A</v>
      </c>
      <c r="C35" s="390"/>
      <c r="D35" s="153"/>
      <c r="E35" s="156" t="s">
        <v>958</v>
      </c>
      <c r="F35" s="155">
        <f>IF(builder!$O$49&gt;0,1,0)</f>
        <v>0</v>
      </c>
      <c r="G35" s="155">
        <f>IF(builder!$O$49&gt;1,1,0)</f>
        <v>0</v>
      </c>
      <c r="H35" s="155">
        <f>IF(builder!$O$49&gt;2,1,0)</f>
        <v>0</v>
      </c>
      <c r="I35" s="155">
        <f>IF(builder!$O$49&gt;3,1,0)</f>
        <v>0</v>
      </c>
      <c r="J35" s="155">
        <f>IF(builder!$O$49&gt;4,1,0)</f>
        <v>0</v>
      </c>
      <c r="K35" s="21"/>
      <c r="L35" s="382" t="s">
        <v>943</v>
      </c>
      <c r="M35" s="382"/>
      <c r="N35" s="382"/>
      <c r="O35" s="382"/>
      <c r="P35" s="382"/>
      <c r="Q35" s="155">
        <f>IF(builder!$O$57&gt;0,1,0)</f>
        <v>0</v>
      </c>
      <c r="R35" s="155">
        <f>IF(builder!$O$57&gt;1,1,0)</f>
        <v>0</v>
      </c>
      <c r="S35" s="155">
        <f>IF(builder!$O$57&gt;2,1,0)</f>
        <v>0</v>
      </c>
      <c r="T35" s="155">
        <f>IF(builder!$O$57&gt;3,1,0)</f>
        <v>0</v>
      </c>
      <c r="U35" s="155">
        <f>IF(builder!$O$57&gt;4,1,0)</f>
        <v>0</v>
      </c>
      <c r="W35" s="153"/>
      <c r="X35" s="367"/>
      <c r="Y35" s="153"/>
    </row>
    <row r="36" spans="1:25" ht="4.5" customHeight="1" x14ac:dyDescent="0.25">
      <c r="A36" s="153"/>
      <c r="B36" s="390"/>
      <c r="C36" s="390"/>
      <c r="D36" s="153"/>
      <c r="F36" s="21"/>
      <c r="G36" s="21"/>
      <c r="H36" s="21"/>
      <c r="I36" s="21"/>
      <c r="J36" s="21"/>
      <c r="K36" s="21"/>
      <c r="L36" s="21"/>
      <c r="M36" s="21"/>
      <c r="N36" s="21"/>
      <c r="O36" s="21"/>
      <c r="P36" s="21"/>
      <c r="Q36" s="21"/>
      <c r="R36" s="21"/>
      <c r="S36" s="21"/>
      <c r="T36" s="21"/>
      <c r="U36" s="21"/>
      <c r="W36" s="153"/>
      <c r="X36" s="367" t="str">
        <f>'adv shuffle'!$N$7</f>
        <v/>
      </c>
      <c r="Y36" s="153"/>
    </row>
    <row r="37" spans="1:25" ht="5.25" customHeight="1" x14ac:dyDescent="0.25">
      <c r="A37" s="153"/>
      <c r="B37" s="390"/>
      <c r="C37" s="390"/>
      <c r="D37" s="153"/>
      <c r="W37" s="153"/>
      <c r="X37" s="367"/>
      <c r="Y37" s="153"/>
    </row>
    <row r="38" spans="1:25" s="18" customFormat="1" ht="14.25" customHeight="1" x14ac:dyDescent="0.25">
      <c r="A38" s="153"/>
      <c r="B38" s="390"/>
      <c r="C38" s="390"/>
      <c r="D38" s="153"/>
      <c r="E38" s="381" t="s">
        <v>965</v>
      </c>
      <c r="F38" s="381"/>
      <c r="G38" s="381"/>
      <c r="H38" s="381"/>
      <c r="I38" s="381"/>
      <c r="J38" s="381"/>
      <c r="K38" s="381"/>
      <c r="L38" s="381"/>
      <c r="M38" s="381"/>
      <c r="N38" s="381"/>
      <c r="O38" s="381"/>
      <c r="P38" s="381"/>
      <c r="Q38" s="381"/>
      <c r="R38" s="381"/>
      <c r="S38" s="381"/>
      <c r="T38" s="381"/>
      <c r="U38" s="381"/>
      <c r="V38" s="381"/>
      <c r="W38" s="153"/>
      <c r="X38" s="367"/>
      <c r="Y38" s="153"/>
    </row>
    <row r="39" spans="1:25" s="148" customFormat="1" ht="6.75" customHeight="1" x14ac:dyDescent="0.25">
      <c r="A39" s="153"/>
      <c r="B39" s="390"/>
      <c r="C39" s="390"/>
      <c r="D39" s="153"/>
      <c r="E39" s="381" t="s">
        <v>966</v>
      </c>
      <c r="F39" s="381"/>
      <c r="G39" s="381"/>
      <c r="H39" s="381"/>
      <c r="I39" s="381"/>
      <c r="J39" s="381"/>
      <c r="K39" s="381"/>
      <c r="L39" s="381"/>
      <c r="M39" s="381"/>
      <c r="N39" s="381"/>
      <c r="O39" s="381"/>
      <c r="P39" s="381"/>
      <c r="Q39" s="381"/>
      <c r="R39" s="381"/>
      <c r="S39" s="381"/>
      <c r="T39" s="381"/>
      <c r="U39" s="381"/>
      <c r="V39" s="381"/>
      <c r="W39" s="153"/>
      <c r="X39" s="367" t="str">
        <f>'adv shuffle'!$N$8</f>
        <v/>
      </c>
      <c r="Y39" s="153"/>
    </row>
    <row r="40" spans="1:25" ht="6.75" customHeight="1" x14ac:dyDescent="0.25">
      <c r="A40" s="153"/>
      <c r="B40" s="153"/>
      <c r="C40" s="153"/>
      <c r="D40" s="153"/>
      <c r="E40" s="381"/>
      <c r="F40" s="381"/>
      <c r="G40" s="381"/>
      <c r="H40" s="381"/>
      <c r="I40" s="381"/>
      <c r="J40" s="381"/>
      <c r="K40" s="381"/>
      <c r="L40" s="381"/>
      <c r="M40" s="381"/>
      <c r="N40" s="381"/>
      <c r="O40" s="381"/>
      <c r="P40" s="381"/>
      <c r="Q40" s="381"/>
      <c r="R40" s="381"/>
      <c r="S40" s="381"/>
      <c r="T40" s="381"/>
      <c r="U40" s="381"/>
      <c r="V40" s="381"/>
      <c r="W40" s="153"/>
      <c r="X40" s="367"/>
      <c r="Y40" s="153"/>
    </row>
    <row r="41" spans="1:25" x14ac:dyDescent="0.25">
      <c r="A41" s="153"/>
      <c r="B41" s="388" t="s">
        <v>941</v>
      </c>
      <c r="C41" s="388"/>
      <c r="D41" s="153"/>
      <c r="E41" s="381" t="s">
        <v>967</v>
      </c>
      <c r="F41" s="381"/>
      <c r="G41" s="381"/>
      <c r="H41" s="381"/>
      <c r="I41" s="381"/>
      <c r="J41" s="381"/>
      <c r="K41" s="381"/>
      <c r="L41" s="381"/>
      <c r="M41" s="381"/>
      <c r="N41" s="381"/>
      <c r="O41" s="381"/>
      <c r="P41" s="381"/>
      <c r="Q41" s="381"/>
      <c r="R41" s="381"/>
      <c r="S41" s="381"/>
      <c r="T41" s="381"/>
      <c r="U41" s="381"/>
      <c r="V41" s="381"/>
      <c r="W41" s="153"/>
      <c r="X41" s="367" t="str">
        <f>'adv shuffle'!$N$9</f>
        <v/>
      </c>
      <c r="Y41" s="153"/>
    </row>
    <row r="42" spans="1:25" s="148" customFormat="1" ht="4.5" customHeight="1" x14ac:dyDescent="0.25">
      <c r="A42" s="153"/>
      <c r="B42" s="159"/>
      <c r="C42" s="159"/>
      <c r="D42" s="153"/>
      <c r="E42" s="153"/>
      <c r="F42" s="153"/>
      <c r="G42" s="153"/>
      <c r="H42" s="153"/>
      <c r="I42" s="153"/>
      <c r="J42" s="153"/>
      <c r="K42" s="153"/>
      <c r="L42" s="153"/>
      <c r="M42" s="153"/>
      <c r="N42" s="153"/>
      <c r="O42" s="153"/>
      <c r="P42" s="153"/>
      <c r="Q42" s="153"/>
      <c r="R42" s="153"/>
      <c r="S42" s="153"/>
      <c r="T42" s="153"/>
      <c r="U42" s="153"/>
      <c r="V42" s="153"/>
      <c r="W42" s="153"/>
      <c r="X42" s="367"/>
      <c r="Y42" s="153"/>
    </row>
    <row r="43" spans="1:25" x14ac:dyDescent="0.25">
      <c r="A43" s="153"/>
      <c r="B43" s="148" t="s">
        <v>382</v>
      </c>
      <c r="C43" s="151">
        <f>builder!B78</f>
        <v>0</v>
      </c>
      <c r="D43" s="153"/>
      <c r="E43" s="388" t="s">
        <v>942</v>
      </c>
      <c r="F43" s="388"/>
      <c r="G43" s="388"/>
      <c r="H43" s="388"/>
      <c r="I43" s="388"/>
      <c r="J43" s="388"/>
      <c r="K43" s="388"/>
      <c r="L43" s="388"/>
      <c r="M43" s="388"/>
      <c r="N43" s="388"/>
      <c r="O43" s="388"/>
      <c r="P43" s="388"/>
      <c r="Q43" s="388"/>
      <c r="R43" s="388"/>
      <c r="S43" s="388"/>
      <c r="T43" s="388"/>
      <c r="U43" s="388"/>
      <c r="V43" s="388"/>
      <c r="W43" s="153"/>
      <c r="X43" s="148" t="str">
        <f>'adv shuffle'!$N$10</f>
        <v/>
      </c>
      <c r="Y43" s="153"/>
    </row>
    <row r="44" spans="1:25" x14ac:dyDescent="0.25">
      <c r="A44" s="153"/>
      <c r="B44" s="148" t="s">
        <v>964</v>
      </c>
      <c r="C44" s="148">
        <f>builder!G78</f>
        <v>0</v>
      </c>
      <c r="D44" s="153"/>
      <c r="E44" s="153"/>
      <c r="F44" s="153"/>
      <c r="G44" s="153"/>
      <c r="H44" s="153"/>
      <c r="I44" s="153"/>
      <c r="J44" s="153"/>
      <c r="K44" s="153"/>
      <c r="L44" s="153"/>
      <c r="M44" s="153"/>
      <c r="N44" s="153"/>
      <c r="O44" s="153"/>
      <c r="P44" s="153"/>
      <c r="Q44" s="153"/>
      <c r="R44" s="153"/>
      <c r="S44" s="153"/>
      <c r="T44" s="153"/>
      <c r="U44" s="153"/>
      <c r="V44" s="153"/>
      <c r="W44" s="153"/>
      <c r="X44" s="148" t="str">
        <f>'adv shuffle'!$N$11</f>
        <v/>
      </c>
      <c r="Y44" s="153"/>
    </row>
    <row r="45" spans="1:25" x14ac:dyDescent="0.25">
      <c r="A45" s="153"/>
      <c r="B45" s="148" t="s">
        <v>383</v>
      </c>
      <c r="C45" s="148">
        <f>builder!B81</f>
        <v>0</v>
      </c>
      <c r="D45" s="153"/>
      <c r="E45" s="153"/>
      <c r="F45" s="153"/>
      <c r="G45" s="153"/>
      <c r="H45" s="153"/>
      <c r="I45" s="153"/>
      <c r="J45" s="153"/>
      <c r="K45" s="153"/>
      <c r="L45" s="153"/>
      <c r="M45" s="153"/>
      <c r="N45" s="153"/>
      <c r="O45" s="153"/>
      <c r="P45" s="153"/>
      <c r="Q45" s="153"/>
      <c r="R45" s="153"/>
      <c r="S45" s="153"/>
      <c r="T45" s="153"/>
      <c r="U45" s="153"/>
      <c r="V45" s="153"/>
      <c r="W45" s="153"/>
      <c r="X45" s="148" t="str">
        <f>'adv shuffle'!$N$12</f>
        <v/>
      </c>
      <c r="Y45" s="153"/>
    </row>
    <row r="46" spans="1:25" x14ac:dyDescent="0.25">
      <c r="A46" s="153"/>
      <c r="B46" s="148" t="s">
        <v>384</v>
      </c>
      <c r="C46" s="148">
        <f>builder!B83</f>
        <v>0</v>
      </c>
      <c r="D46" s="153"/>
      <c r="E46" s="153"/>
      <c r="F46" s="153"/>
      <c r="G46" s="153"/>
      <c r="H46" s="153"/>
      <c r="I46" s="153"/>
      <c r="J46" s="153"/>
      <c r="K46" s="153"/>
      <c r="L46" s="153"/>
      <c r="M46" s="153"/>
      <c r="N46" s="153"/>
      <c r="O46" s="153"/>
      <c r="P46" s="153"/>
      <c r="Q46" s="153"/>
      <c r="R46" s="153"/>
      <c r="S46" s="153"/>
      <c r="T46" s="153"/>
      <c r="U46" s="153"/>
      <c r="V46" s="153"/>
      <c r="W46" s="153"/>
      <c r="X46" s="148" t="str">
        <f>'adv shuffle'!$N$13</f>
        <v/>
      </c>
      <c r="Y46" s="153"/>
    </row>
    <row r="47" spans="1:25" x14ac:dyDescent="0.25">
      <c r="A47" s="153"/>
      <c r="B47" s="148" t="s">
        <v>385</v>
      </c>
      <c r="C47" s="148">
        <f>builder!B85</f>
        <v>0</v>
      </c>
      <c r="D47" s="153"/>
      <c r="E47" s="153"/>
      <c r="F47" s="153"/>
      <c r="G47" s="153"/>
      <c r="H47" s="153"/>
      <c r="I47" s="153"/>
      <c r="J47" s="153"/>
      <c r="K47" s="153"/>
      <c r="L47" s="153"/>
      <c r="M47" s="153"/>
      <c r="N47" s="153"/>
      <c r="O47" s="153"/>
      <c r="P47" s="153"/>
      <c r="Q47" s="153"/>
      <c r="R47" s="153"/>
      <c r="S47" s="153"/>
      <c r="T47" s="153"/>
      <c r="U47" s="153"/>
      <c r="V47" s="153"/>
      <c r="W47" s="153"/>
      <c r="X47" s="148" t="str">
        <f>'adv shuffle'!$N$14</f>
        <v/>
      </c>
      <c r="Y47" s="153"/>
    </row>
    <row r="48" spans="1:25" s="148" customFormat="1" x14ac:dyDescent="0.25">
      <c r="A48" s="153"/>
      <c r="D48" s="153"/>
      <c r="E48" s="153"/>
      <c r="F48" s="153"/>
      <c r="G48" s="153"/>
      <c r="H48" s="153"/>
      <c r="I48" s="153"/>
      <c r="J48" s="153"/>
      <c r="K48" s="153"/>
      <c r="L48" s="153"/>
      <c r="M48" s="153"/>
      <c r="N48" s="153"/>
      <c r="O48" s="153"/>
      <c r="P48" s="153"/>
      <c r="Q48" s="153"/>
      <c r="R48" s="153"/>
      <c r="S48" s="153"/>
      <c r="T48" s="153"/>
      <c r="U48" s="153"/>
      <c r="V48" s="153"/>
      <c r="W48" s="153"/>
      <c r="Y48" s="153"/>
    </row>
    <row r="49" spans="1:25" x14ac:dyDescent="0.25">
      <c r="A49" s="153"/>
      <c r="D49" s="153"/>
      <c r="E49" s="153"/>
      <c r="F49" s="153"/>
      <c r="G49" s="153"/>
      <c r="H49" s="153"/>
      <c r="I49" s="153"/>
      <c r="J49" s="153"/>
      <c r="K49" s="153"/>
      <c r="L49" s="153"/>
      <c r="M49" s="153"/>
      <c r="N49" s="153"/>
      <c r="O49" s="153"/>
      <c r="P49" s="153"/>
      <c r="Q49" s="153"/>
      <c r="R49" s="153"/>
      <c r="S49" s="153"/>
      <c r="T49" s="153"/>
      <c r="U49" s="153"/>
      <c r="V49" s="153"/>
      <c r="W49" s="153"/>
      <c r="X49" s="148" t="str">
        <f>'adv shuffle'!$N$15</f>
        <v/>
      </c>
      <c r="Y49" s="153"/>
    </row>
    <row r="50" spans="1:25" x14ac:dyDescent="0.25">
      <c r="A50" s="153"/>
      <c r="D50" s="153"/>
      <c r="E50" s="153"/>
      <c r="F50" s="153"/>
      <c r="G50" s="153"/>
      <c r="H50" s="153"/>
      <c r="I50" s="153"/>
      <c r="J50" s="153"/>
      <c r="K50" s="153"/>
      <c r="L50" s="153"/>
      <c r="M50" s="153"/>
      <c r="N50" s="153"/>
      <c r="O50" s="153"/>
      <c r="P50" s="153"/>
      <c r="Q50" s="153"/>
      <c r="R50" s="153"/>
      <c r="S50" s="153"/>
      <c r="T50" s="153"/>
      <c r="U50" s="153"/>
      <c r="V50" s="153"/>
      <c r="W50" s="153"/>
      <c r="X50" s="148" t="str">
        <f>IF('adv shuffle'!P33&lt;&gt;"",CONCATENATE("Duelist Style: ",'adv shuffle'!P33,": ",print!D110),"")</f>
        <v/>
      </c>
      <c r="Y50" s="153"/>
    </row>
    <row r="51" spans="1:25" x14ac:dyDescent="0.25">
      <c r="A51" s="153"/>
      <c r="D51" s="153"/>
      <c r="E51" s="153"/>
      <c r="F51" s="153"/>
      <c r="G51" s="153"/>
      <c r="H51" s="153"/>
      <c r="I51" s="153"/>
      <c r="J51" s="153"/>
      <c r="K51" s="153"/>
      <c r="L51" s="153"/>
      <c r="M51" s="153"/>
      <c r="N51" s="153"/>
      <c r="O51" s="153"/>
      <c r="P51" s="153"/>
      <c r="Q51" s="153"/>
      <c r="R51" s="153"/>
      <c r="S51" s="153"/>
      <c r="T51" s="153"/>
      <c r="U51" s="153"/>
      <c r="V51" s="153"/>
      <c r="W51" s="153"/>
      <c r="X51" s="148" t="str">
        <f>IF('adv shuffle'!P32&lt;&gt;"",CONCATENATE("Duelist Style: ",'adv shuffle'!P32,": ",print!D107),"")</f>
        <v/>
      </c>
      <c r="Y51" s="153"/>
    </row>
    <row r="52" spans="1:25" x14ac:dyDescent="0.25">
      <c r="A52" s="153"/>
      <c r="B52" s="17"/>
      <c r="C52" s="17"/>
      <c r="D52" s="153"/>
      <c r="E52" s="153"/>
      <c r="F52" s="153"/>
      <c r="G52" s="153"/>
      <c r="H52" s="153"/>
      <c r="I52" s="153"/>
      <c r="J52" s="153"/>
      <c r="K52" s="153"/>
      <c r="L52" s="153"/>
      <c r="M52" s="153"/>
      <c r="N52" s="153"/>
      <c r="O52" s="153"/>
      <c r="P52" s="153"/>
      <c r="Q52" s="153"/>
      <c r="R52" s="153"/>
      <c r="S52" s="153"/>
      <c r="T52" s="153"/>
      <c r="U52" s="153"/>
      <c r="V52" s="153"/>
      <c r="W52" s="153"/>
      <c r="X52" s="148" t="str">
        <f>IF('adv shuffle'!P31&lt;&gt;"",CONCATENATE("Duelist Style: ",'adv shuffle'!P31,": ",print!D104),"")</f>
        <v/>
      </c>
      <c r="Y52" s="153"/>
    </row>
    <row r="53" spans="1:25" x14ac:dyDescent="0.25">
      <c r="A53" s="153"/>
      <c r="B53" s="391" t="str">
        <f>CONCATENATE("Corruption: ",builder!$P$86)</f>
        <v>Corruption: 0</v>
      </c>
      <c r="C53" s="391"/>
      <c r="D53" s="153"/>
      <c r="E53" s="153"/>
      <c r="F53" s="153"/>
      <c r="G53" s="153"/>
      <c r="H53" s="153"/>
      <c r="I53" s="153"/>
      <c r="J53" s="153"/>
      <c r="K53" s="153"/>
      <c r="L53" s="153"/>
      <c r="M53" s="153"/>
      <c r="N53" s="153"/>
      <c r="O53" s="153"/>
      <c r="P53" s="153"/>
      <c r="Q53" s="153"/>
      <c r="R53" s="153"/>
      <c r="S53" s="153"/>
      <c r="T53" s="153"/>
      <c r="U53" s="153"/>
      <c r="V53" s="153"/>
      <c r="W53" s="153"/>
      <c r="X53" s="148" t="str">
        <f>CONCATENATE("Secret Society: ",builder!$B$103)</f>
        <v xml:space="preserve">Secret Society: </v>
      </c>
      <c r="Y53" s="153"/>
    </row>
    <row r="54" spans="1:25"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row>
    <row r="55" spans="1:25" ht="32.25" customHeight="1" x14ac:dyDescent="0.25"/>
    <row r="56" spans="1:25" s="168" customFormat="1" ht="9.75" customHeight="1"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row>
    <row r="57" spans="1:25" s="168" customFormat="1" ht="16.5" customHeight="1" x14ac:dyDescent="0.25">
      <c r="A57" s="153"/>
      <c r="B57" s="388" t="s">
        <v>1006</v>
      </c>
      <c r="C57" s="388"/>
      <c r="D57" s="388"/>
      <c r="E57" s="388"/>
      <c r="F57" s="388"/>
      <c r="G57" s="388"/>
      <c r="H57" s="388"/>
      <c r="I57" s="388"/>
      <c r="J57" s="388"/>
      <c r="K57" s="388"/>
      <c r="L57" s="388"/>
      <c r="M57" s="388"/>
      <c r="N57" s="388"/>
      <c r="O57" s="388"/>
      <c r="P57" s="388"/>
      <c r="Q57" s="388"/>
      <c r="R57" s="388"/>
      <c r="S57" s="388"/>
      <c r="T57" s="388"/>
      <c r="U57" s="388"/>
      <c r="V57" s="388"/>
      <c r="W57" s="388"/>
      <c r="X57" s="388"/>
      <c r="Y57" s="153"/>
    </row>
    <row r="58" spans="1:25" s="180" customFormat="1" ht="12.75" x14ac:dyDescent="0.2">
      <c r="A58" s="179"/>
      <c r="B58" s="182" t="s">
        <v>97</v>
      </c>
      <c r="Y58" s="179"/>
    </row>
    <row r="59" spans="1:25" s="180" customFormat="1" ht="12.75" x14ac:dyDescent="0.2">
      <c r="A59" s="179"/>
      <c r="B59" s="183">
        <f>X3</f>
        <v>0</v>
      </c>
      <c r="C59" s="394" t="e">
        <f>print!B30</f>
        <v>#N/A</v>
      </c>
      <c r="D59" s="394"/>
      <c r="E59" s="394"/>
      <c r="F59" s="394"/>
      <c r="G59" s="394"/>
      <c r="H59" s="394"/>
      <c r="I59" s="394"/>
      <c r="J59" s="394"/>
      <c r="K59" s="394"/>
      <c r="L59" s="394"/>
      <c r="M59" s="394"/>
      <c r="N59" s="394"/>
      <c r="O59" s="394"/>
      <c r="P59" s="394"/>
      <c r="Q59" s="394"/>
      <c r="R59" s="394"/>
      <c r="S59" s="394"/>
      <c r="T59" s="394"/>
      <c r="U59" s="394"/>
      <c r="V59" s="394"/>
      <c r="W59" s="394"/>
      <c r="X59" s="394"/>
      <c r="Y59" s="179"/>
    </row>
    <row r="60" spans="1:25" s="180" customFormat="1" ht="12.75" x14ac:dyDescent="0.2">
      <c r="A60" s="179"/>
      <c r="B60" s="183">
        <f>X11</f>
        <v>0</v>
      </c>
      <c r="C60" s="394" t="e">
        <f>print!B36</f>
        <v>#N/A</v>
      </c>
      <c r="D60" s="394"/>
      <c r="E60" s="394"/>
      <c r="F60" s="394"/>
      <c r="G60" s="394"/>
      <c r="H60" s="394"/>
      <c r="I60" s="394"/>
      <c r="J60" s="394"/>
      <c r="K60" s="394"/>
      <c r="L60" s="394"/>
      <c r="M60" s="394"/>
      <c r="N60" s="394"/>
      <c r="O60" s="394"/>
      <c r="P60" s="394"/>
      <c r="Q60" s="394"/>
      <c r="R60" s="394"/>
      <c r="S60" s="394"/>
      <c r="T60" s="394"/>
      <c r="U60" s="394"/>
      <c r="V60" s="394"/>
      <c r="W60" s="394"/>
      <c r="X60" s="394"/>
      <c r="Y60" s="179"/>
    </row>
    <row r="61" spans="1:25" s="180" customFormat="1" ht="12.75" x14ac:dyDescent="0.2">
      <c r="A61" s="179"/>
      <c r="B61" s="182" t="s">
        <v>0</v>
      </c>
      <c r="Y61" s="179"/>
    </row>
    <row r="62" spans="1:25" ht="24.75" customHeight="1" x14ac:dyDescent="0.25">
      <c r="A62" s="153"/>
      <c r="B62" s="184" t="str">
        <f>'adv shuffle'!V2</f>
        <v>Styles</v>
      </c>
      <c r="C62" s="393" t="str">
        <f>'adv shuffle'!W2</f>
        <v/>
      </c>
      <c r="D62" s="393"/>
      <c r="E62" s="393"/>
      <c r="F62" s="393"/>
      <c r="G62" s="393"/>
      <c r="H62" s="393"/>
      <c r="I62" s="393"/>
      <c r="J62" s="393"/>
      <c r="K62" s="393"/>
      <c r="L62" s="393"/>
      <c r="M62" s="393"/>
      <c r="N62" s="393"/>
      <c r="O62" s="393"/>
      <c r="P62" s="393"/>
      <c r="Q62" s="393"/>
      <c r="R62" s="393"/>
      <c r="S62" s="393"/>
      <c r="T62" s="393"/>
      <c r="U62" s="393"/>
      <c r="V62" s="393"/>
      <c r="W62" s="393"/>
      <c r="X62" s="393"/>
      <c r="Y62" s="153"/>
    </row>
    <row r="63" spans="1:25" ht="24.75" customHeight="1" x14ac:dyDescent="0.25">
      <c r="A63" s="153"/>
      <c r="B63" s="184" t="str">
        <f>'adv shuffle'!V3</f>
        <v>Sorcery</v>
      </c>
      <c r="C63" s="393" t="str">
        <f>'adv shuffle'!W3</f>
        <v/>
      </c>
      <c r="D63" s="393"/>
      <c r="E63" s="393"/>
      <c r="F63" s="393"/>
      <c r="G63" s="393"/>
      <c r="H63" s="393"/>
      <c r="I63" s="393"/>
      <c r="J63" s="393"/>
      <c r="K63" s="393"/>
      <c r="L63" s="393"/>
      <c r="M63" s="393"/>
      <c r="N63" s="393"/>
      <c r="O63" s="393"/>
      <c r="P63" s="393"/>
      <c r="Q63" s="393"/>
      <c r="R63" s="393"/>
      <c r="S63" s="393"/>
      <c r="T63" s="393"/>
      <c r="U63" s="393"/>
      <c r="V63" s="393"/>
      <c r="W63" s="393"/>
      <c r="X63" s="393"/>
      <c r="Y63" s="153"/>
    </row>
    <row r="64" spans="1:25" ht="24.75" customHeight="1" x14ac:dyDescent="0.25">
      <c r="A64" s="153"/>
      <c r="B64" s="184" t="str">
        <f>'adv shuffle'!V4</f>
        <v/>
      </c>
      <c r="C64" s="393" t="str">
        <f>'adv shuffle'!W4</f>
        <v/>
      </c>
      <c r="D64" s="393"/>
      <c r="E64" s="393"/>
      <c r="F64" s="393"/>
      <c r="G64" s="393"/>
      <c r="H64" s="393"/>
      <c r="I64" s="393"/>
      <c r="J64" s="393"/>
      <c r="K64" s="393"/>
      <c r="L64" s="393"/>
      <c r="M64" s="393"/>
      <c r="N64" s="393"/>
      <c r="O64" s="393"/>
      <c r="P64" s="393"/>
      <c r="Q64" s="393"/>
      <c r="R64" s="393"/>
      <c r="S64" s="393"/>
      <c r="T64" s="393"/>
      <c r="U64" s="393"/>
      <c r="V64" s="393"/>
      <c r="W64" s="393"/>
      <c r="X64" s="393"/>
      <c r="Y64" s="153"/>
    </row>
    <row r="65" spans="1:25" ht="24.75" customHeight="1" x14ac:dyDescent="0.25">
      <c r="A65" s="153"/>
      <c r="B65" s="184" t="str">
        <f>'adv shuffle'!V5</f>
        <v/>
      </c>
      <c r="C65" s="393" t="str">
        <f>'adv shuffle'!W5</f>
        <v/>
      </c>
      <c r="D65" s="393"/>
      <c r="E65" s="393"/>
      <c r="F65" s="393"/>
      <c r="G65" s="393"/>
      <c r="H65" s="393"/>
      <c r="I65" s="393"/>
      <c r="J65" s="393"/>
      <c r="K65" s="393"/>
      <c r="L65" s="393"/>
      <c r="M65" s="393"/>
      <c r="N65" s="393"/>
      <c r="O65" s="393"/>
      <c r="P65" s="393"/>
      <c r="Q65" s="393"/>
      <c r="R65" s="393"/>
      <c r="S65" s="393"/>
      <c r="T65" s="393"/>
      <c r="U65" s="393"/>
      <c r="V65" s="393"/>
      <c r="W65" s="393"/>
      <c r="X65" s="393"/>
      <c r="Y65" s="153"/>
    </row>
    <row r="66" spans="1:25" ht="24.75" customHeight="1" x14ac:dyDescent="0.25">
      <c r="A66" s="153"/>
      <c r="B66" s="184" t="str">
        <f>'adv shuffle'!V6</f>
        <v/>
      </c>
      <c r="C66" s="393" t="str">
        <f>'adv shuffle'!W6</f>
        <v/>
      </c>
      <c r="D66" s="393"/>
      <c r="E66" s="393"/>
      <c r="F66" s="393"/>
      <c r="G66" s="393"/>
      <c r="H66" s="393"/>
      <c r="I66" s="393"/>
      <c r="J66" s="393"/>
      <c r="K66" s="393"/>
      <c r="L66" s="393"/>
      <c r="M66" s="393"/>
      <c r="N66" s="393"/>
      <c r="O66" s="393"/>
      <c r="P66" s="393"/>
      <c r="Q66" s="393"/>
      <c r="R66" s="393"/>
      <c r="S66" s="393"/>
      <c r="T66" s="393"/>
      <c r="U66" s="393"/>
      <c r="V66" s="393"/>
      <c r="W66" s="393"/>
      <c r="X66" s="393"/>
      <c r="Y66" s="153"/>
    </row>
    <row r="67" spans="1:25" ht="24.75" customHeight="1" x14ac:dyDescent="0.25">
      <c r="A67" s="153"/>
      <c r="B67" s="184" t="str">
        <f>'adv shuffle'!V7</f>
        <v/>
      </c>
      <c r="C67" s="393" t="str">
        <f>'adv shuffle'!W7</f>
        <v/>
      </c>
      <c r="D67" s="393"/>
      <c r="E67" s="393"/>
      <c r="F67" s="393"/>
      <c r="G67" s="393"/>
      <c r="H67" s="393"/>
      <c r="I67" s="393"/>
      <c r="J67" s="393"/>
      <c r="K67" s="393"/>
      <c r="L67" s="393"/>
      <c r="M67" s="393"/>
      <c r="N67" s="393"/>
      <c r="O67" s="393"/>
      <c r="P67" s="393"/>
      <c r="Q67" s="393"/>
      <c r="R67" s="393"/>
      <c r="S67" s="393"/>
      <c r="T67" s="393"/>
      <c r="U67" s="393"/>
      <c r="V67" s="393"/>
      <c r="W67" s="393"/>
      <c r="X67" s="393"/>
      <c r="Y67" s="153"/>
    </row>
    <row r="68" spans="1:25" ht="24.75" customHeight="1" x14ac:dyDescent="0.25">
      <c r="A68" s="153"/>
      <c r="B68" s="184" t="str">
        <f>'adv shuffle'!V8</f>
        <v/>
      </c>
      <c r="C68" s="393" t="str">
        <f>'adv shuffle'!W8</f>
        <v/>
      </c>
      <c r="D68" s="393"/>
      <c r="E68" s="393"/>
      <c r="F68" s="393"/>
      <c r="G68" s="393"/>
      <c r="H68" s="393"/>
      <c r="I68" s="393"/>
      <c r="J68" s="393"/>
      <c r="K68" s="393"/>
      <c r="L68" s="393"/>
      <c r="M68" s="393"/>
      <c r="N68" s="393"/>
      <c r="O68" s="393"/>
      <c r="P68" s="393"/>
      <c r="Q68" s="393"/>
      <c r="R68" s="393"/>
      <c r="S68" s="393"/>
      <c r="T68" s="393"/>
      <c r="U68" s="393"/>
      <c r="V68" s="393"/>
      <c r="W68" s="393"/>
      <c r="X68" s="393"/>
      <c r="Y68" s="153"/>
    </row>
    <row r="69" spans="1:25" ht="24.75" customHeight="1" x14ac:dyDescent="0.25">
      <c r="A69" s="153"/>
      <c r="B69" s="184" t="str">
        <f>'adv shuffle'!V9</f>
        <v/>
      </c>
      <c r="C69" s="393" t="str">
        <f>'adv shuffle'!W9</f>
        <v/>
      </c>
      <c r="D69" s="393"/>
      <c r="E69" s="393"/>
      <c r="F69" s="393"/>
      <c r="G69" s="393"/>
      <c r="H69" s="393"/>
      <c r="I69" s="393"/>
      <c r="J69" s="393"/>
      <c r="K69" s="393"/>
      <c r="L69" s="393"/>
      <c r="M69" s="393"/>
      <c r="N69" s="393"/>
      <c r="O69" s="393"/>
      <c r="P69" s="393"/>
      <c r="Q69" s="393"/>
      <c r="R69" s="393"/>
      <c r="S69" s="393"/>
      <c r="T69" s="393"/>
      <c r="U69" s="393"/>
      <c r="V69" s="393"/>
      <c r="W69" s="393"/>
      <c r="X69" s="393"/>
      <c r="Y69" s="153"/>
    </row>
    <row r="70" spans="1:25" ht="24.75" customHeight="1" x14ac:dyDescent="0.25">
      <c r="A70" s="153"/>
      <c r="B70" s="184" t="str">
        <f>'adv shuffle'!V10</f>
        <v/>
      </c>
      <c r="C70" s="393" t="str">
        <f>'adv shuffle'!W10</f>
        <v/>
      </c>
      <c r="D70" s="393"/>
      <c r="E70" s="393"/>
      <c r="F70" s="393"/>
      <c r="G70" s="393"/>
      <c r="H70" s="393"/>
      <c r="I70" s="393"/>
      <c r="J70" s="393"/>
      <c r="K70" s="393"/>
      <c r="L70" s="393"/>
      <c r="M70" s="393"/>
      <c r="N70" s="393"/>
      <c r="O70" s="393"/>
      <c r="P70" s="393"/>
      <c r="Q70" s="393"/>
      <c r="R70" s="393"/>
      <c r="S70" s="393"/>
      <c r="T70" s="393"/>
      <c r="U70" s="393"/>
      <c r="V70" s="393"/>
      <c r="W70" s="393"/>
      <c r="X70" s="393"/>
      <c r="Y70" s="153"/>
    </row>
    <row r="71" spans="1:25" ht="24.75" customHeight="1" x14ac:dyDescent="0.25">
      <c r="A71" s="153"/>
      <c r="B71" s="184" t="str">
        <f>'adv shuffle'!V11</f>
        <v/>
      </c>
      <c r="C71" s="393" t="str">
        <f>'adv shuffle'!W11</f>
        <v/>
      </c>
      <c r="D71" s="393"/>
      <c r="E71" s="393"/>
      <c r="F71" s="393"/>
      <c r="G71" s="393"/>
      <c r="H71" s="393"/>
      <c r="I71" s="393"/>
      <c r="J71" s="393"/>
      <c r="K71" s="393"/>
      <c r="L71" s="393"/>
      <c r="M71" s="393"/>
      <c r="N71" s="393"/>
      <c r="O71" s="393"/>
      <c r="P71" s="393"/>
      <c r="Q71" s="393"/>
      <c r="R71" s="393"/>
      <c r="S71" s="393"/>
      <c r="T71" s="393"/>
      <c r="U71" s="393"/>
      <c r="V71" s="393"/>
      <c r="W71" s="393"/>
      <c r="X71" s="393"/>
      <c r="Y71" s="153"/>
    </row>
    <row r="72" spans="1:25" ht="24.75" customHeight="1" x14ac:dyDescent="0.25">
      <c r="A72" s="153"/>
      <c r="B72" s="184" t="str">
        <f>'adv shuffle'!V12</f>
        <v/>
      </c>
      <c r="C72" s="393" t="str">
        <f>'adv shuffle'!W12</f>
        <v/>
      </c>
      <c r="D72" s="393"/>
      <c r="E72" s="393"/>
      <c r="F72" s="393"/>
      <c r="G72" s="393"/>
      <c r="H72" s="393"/>
      <c r="I72" s="393"/>
      <c r="J72" s="393"/>
      <c r="K72" s="393"/>
      <c r="L72" s="393"/>
      <c r="M72" s="393"/>
      <c r="N72" s="393"/>
      <c r="O72" s="393"/>
      <c r="P72" s="393"/>
      <c r="Q72" s="393"/>
      <c r="R72" s="393"/>
      <c r="S72" s="393"/>
      <c r="T72" s="393"/>
      <c r="U72" s="393"/>
      <c r="V72" s="393"/>
      <c r="W72" s="393"/>
      <c r="X72" s="393"/>
      <c r="Y72" s="153"/>
    </row>
    <row r="73" spans="1:25" ht="24.75" customHeight="1" x14ac:dyDescent="0.25">
      <c r="A73" s="153"/>
      <c r="B73" s="184" t="str">
        <f>'adv shuffle'!V13</f>
        <v/>
      </c>
      <c r="C73" s="393" t="str">
        <f>'adv shuffle'!W13</f>
        <v/>
      </c>
      <c r="D73" s="393"/>
      <c r="E73" s="393"/>
      <c r="F73" s="393"/>
      <c r="G73" s="393"/>
      <c r="H73" s="393"/>
      <c r="I73" s="393"/>
      <c r="J73" s="393"/>
      <c r="K73" s="393"/>
      <c r="L73" s="393"/>
      <c r="M73" s="393"/>
      <c r="N73" s="393"/>
      <c r="O73" s="393"/>
      <c r="P73" s="393"/>
      <c r="Q73" s="393"/>
      <c r="R73" s="393"/>
      <c r="S73" s="393"/>
      <c r="T73" s="393"/>
      <c r="U73" s="393"/>
      <c r="V73" s="393"/>
      <c r="W73" s="393"/>
      <c r="X73" s="393"/>
      <c r="Y73" s="153"/>
    </row>
    <row r="74" spans="1:25" ht="24.75" customHeight="1" x14ac:dyDescent="0.25">
      <c r="A74" s="153"/>
      <c r="B74" s="184" t="str">
        <f>'adv shuffle'!V14</f>
        <v/>
      </c>
      <c r="C74" s="393" t="str">
        <f>'adv shuffle'!W14</f>
        <v/>
      </c>
      <c r="D74" s="393"/>
      <c r="E74" s="393"/>
      <c r="F74" s="393"/>
      <c r="G74" s="393"/>
      <c r="H74" s="393"/>
      <c r="I74" s="393"/>
      <c r="J74" s="393"/>
      <c r="K74" s="393"/>
      <c r="L74" s="393"/>
      <c r="M74" s="393"/>
      <c r="N74" s="393"/>
      <c r="O74" s="393"/>
      <c r="P74" s="393"/>
      <c r="Q74" s="393"/>
      <c r="R74" s="393"/>
      <c r="S74" s="393"/>
      <c r="T74" s="393"/>
      <c r="U74" s="393"/>
      <c r="V74" s="393"/>
      <c r="W74" s="393"/>
      <c r="X74" s="393"/>
      <c r="Y74" s="153"/>
    </row>
    <row r="75" spans="1:25" ht="24.75" customHeight="1" x14ac:dyDescent="0.25">
      <c r="A75" s="153"/>
      <c r="B75" s="184" t="str">
        <f>'adv shuffle'!V15</f>
        <v/>
      </c>
      <c r="C75" s="393" t="str">
        <f>'adv shuffle'!W15</f>
        <v/>
      </c>
      <c r="D75" s="393"/>
      <c r="E75" s="393"/>
      <c r="F75" s="393"/>
      <c r="G75" s="393"/>
      <c r="H75" s="393"/>
      <c r="I75" s="393"/>
      <c r="J75" s="393"/>
      <c r="K75" s="393"/>
      <c r="L75" s="393"/>
      <c r="M75" s="393"/>
      <c r="N75" s="393"/>
      <c r="O75" s="393"/>
      <c r="P75" s="393"/>
      <c r="Q75" s="393"/>
      <c r="R75" s="393"/>
      <c r="S75" s="393"/>
      <c r="T75" s="393"/>
      <c r="U75" s="393"/>
      <c r="V75" s="393"/>
      <c r="W75" s="393"/>
      <c r="X75" s="393"/>
      <c r="Y75" s="153"/>
    </row>
    <row r="76" spans="1:25" ht="24.75" customHeight="1" x14ac:dyDescent="0.25">
      <c r="A76" s="153"/>
      <c r="B76" s="184" t="str">
        <f>'adv shuffle'!V16</f>
        <v/>
      </c>
      <c r="C76" s="393" t="str">
        <f>'adv shuffle'!W16</f>
        <v/>
      </c>
      <c r="D76" s="393"/>
      <c r="E76" s="393"/>
      <c r="F76" s="393"/>
      <c r="G76" s="393"/>
      <c r="H76" s="393"/>
      <c r="I76" s="393"/>
      <c r="J76" s="393"/>
      <c r="K76" s="393"/>
      <c r="L76" s="393"/>
      <c r="M76" s="393"/>
      <c r="N76" s="393"/>
      <c r="O76" s="393"/>
      <c r="P76" s="393"/>
      <c r="Q76" s="393"/>
      <c r="R76" s="393"/>
      <c r="S76" s="393"/>
      <c r="T76" s="393"/>
      <c r="U76" s="393"/>
      <c r="V76" s="393"/>
      <c r="W76" s="393"/>
      <c r="X76" s="393"/>
      <c r="Y76" s="153"/>
    </row>
    <row r="77" spans="1:25" ht="24.75" customHeight="1" x14ac:dyDescent="0.25">
      <c r="A77" s="153"/>
      <c r="B77" s="184" t="str">
        <f>'adv shuffle'!V17</f>
        <v/>
      </c>
      <c r="C77" s="393" t="str">
        <f>'adv shuffle'!W17</f>
        <v/>
      </c>
      <c r="D77" s="393"/>
      <c r="E77" s="393"/>
      <c r="F77" s="393"/>
      <c r="G77" s="393"/>
      <c r="H77" s="393"/>
      <c r="I77" s="393"/>
      <c r="J77" s="393"/>
      <c r="K77" s="393"/>
      <c r="L77" s="393"/>
      <c r="M77" s="393"/>
      <c r="N77" s="393"/>
      <c r="O77" s="393"/>
      <c r="P77" s="393"/>
      <c r="Q77" s="393"/>
      <c r="R77" s="393"/>
      <c r="S77" s="393"/>
      <c r="T77" s="393"/>
      <c r="U77" s="393"/>
      <c r="V77" s="393"/>
      <c r="W77" s="393"/>
      <c r="X77" s="393"/>
      <c r="Y77" s="153"/>
    </row>
    <row r="78" spans="1:25" ht="24.75" customHeight="1" x14ac:dyDescent="0.25">
      <c r="A78" s="153"/>
      <c r="B78" s="184" t="str">
        <f>'adv shuffle'!V18</f>
        <v/>
      </c>
      <c r="C78" s="393" t="str">
        <f>'adv shuffle'!W18</f>
        <v/>
      </c>
      <c r="D78" s="393"/>
      <c r="E78" s="393"/>
      <c r="F78" s="393"/>
      <c r="G78" s="393"/>
      <c r="H78" s="393"/>
      <c r="I78" s="393"/>
      <c r="J78" s="393"/>
      <c r="K78" s="393"/>
      <c r="L78" s="393"/>
      <c r="M78" s="393"/>
      <c r="N78" s="393"/>
      <c r="O78" s="393"/>
      <c r="P78" s="393"/>
      <c r="Q78" s="393"/>
      <c r="R78" s="393"/>
      <c r="S78" s="393"/>
      <c r="T78" s="393"/>
      <c r="U78" s="393"/>
      <c r="V78" s="393"/>
      <c r="W78" s="393"/>
      <c r="X78" s="393"/>
      <c r="Y78" s="153"/>
    </row>
    <row r="79" spans="1:25" ht="24.75" customHeight="1" x14ac:dyDescent="0.25">
      <c r="A79" s="153"/>
      <c r="B79" s="184" t="str">
        <f>'adv shuffle'!V19</f>
        <v/>
      </c>
      <c r="C79" s="393" t="str">
        <f>'adv shuffle'!W19</f>
        <v/>
      </c>
      <c r="D79" s="393"/>
      <c r="E79" s="393"/>
      <c r="F79" s="393"/>
      <c r="G79" s="393"/>
      <c r="H79" s="393"/>
      <c r="I79" s="393"/>
      <c r="J79" s="393"/>
      <c r="K79" s="393"/>
      <c r="L79" s="393"/>
      <c r="M79" s="393"/>
      <c r="N79" s="393"/>
      <c r="O79" s="393"/>
      <c r="P79" s="393"/>
      <c r="Q79" s="393"/>
      <c r="R79" s="393"/>
      <c r="S79" s="393"/>
      <c r="T79" s="393"/>
      <c r="U79" s="393"/>
      <c r="V79" s="393"/>
      <c r="W79" s="393"/>
      <c r="X79" s="393"/>
      <c r="Y79" s="153"/>
    </row>
    <row r="80" spans="1:25" ht="24.75" customHeight="1" x14ac:dyDescent="0.25">
      <c r="A80" s="153"/>
      <c r="B80" s="184" t="str">
        <f>'adv shuffle'!V20</f>
        <v/>
      </c>
      <c r="C80" s="393" t="str">
        <f>'adv shuffle'!W20</f>
        <v/>
      </c>
      <c r="D80" s="393"/>
      <c r="E80" s="393"/>
      <c r="F80" s="393"/>
      <c r="G80" s="393"/>
      <c r="H80" s="393"/>
      <c r="I80" s="393"/>
      <c r="J80" s="393"/>
      <c r="K80" s="393"/>
      <c r="L80" s="393"/>
      <c r="M80" s="393"/>
      <c r="N80" s="393"/>
      <c r="O80" s="393"/>
      <c r="P80" s="393"/>
      <c r="Q80" s="393"/>
      <c r="R80" s="393"/>
      <c r="S80" s="393"/>
      <c r="T80" s="393"/>
      <c r="U80" s="393"/>
      <c r="V80" s="393"/>
      <c r="W80" s="393"/>
      <c r="X80" s="393"/>
      <c r="Y80" s="153"/>
    </row>
    <row r="81" spans="1:25" ht="24.75" customHeight="1" x14ac:dyDescent="0.25">
      <c r="A81" s="153"/>
      <c r="B81" s="184" t="str">
        <f>'adv shuffle'!V21</f>
        <v/>
      </c>
      <c r="C81" s="393" t="str">
        <f>'adv shuffle'!W21</f>
        <v/>
      </c>
      <c r="D81" s="393"/>
      <c r="E81" s="393"/>
      <c r="F81" s="393"/>
      <c r="G81" s="393"/>
      <c r="H81" s="393"/>
      <c r="I81" s="393"/>
      <c r="J81" s="393"/>
      <c r="K81" s="393"/>
      <c r="L81" s="393"/>
      <c r="M81" s="393"/>
      <c r="N81" s="393"/>
      <c r="O81" s="393"/>
      <c r="P81" s="393"/>
      <c r="Q81" s="393"/>
      <c r="R81" s="393"/>
      <c r="S81" s="393"/>
      <c r="T81" s="393"/>
      <c r="U81" s="393"/>
      <c r="V81" s="393"/>
      <c r="W81" s="393"/>
      <c r="X81" s="393"/>
      <c r="Y81" s="153"/>
    </row>
    <row r="82" spans="1:25" ht="24.75" customHeight="1" x14ac:dyDescent="0.25">
      <c r="A82" s="153"/>
      <c r="B82" s="184" t="str">
        <f>'adv shuffle'!V22</f>
        <v/>
      </c>
      <c r="C82" s="393" t="str">
        <f>'adv shuffle'!W22</f>
        <v/>
      </c>
      <c r="D82" s="393"/>
      <c r="E82" s="393"/>
      <c r="F82" s="393"/>
      <c r="G82" s="393"/>
      <c r="H82" s="393"/>
      <c r="I82" s="393"/>
      <c r="J82" s="393"/>
      <c r="K82" s="393"/>
      <c r="L82" s="393"/>
      <c r="M82" s="393"/>
      <c r="N82" s="393"/>
      <c r="O82" s="393"/>
      <c r="P82" s="393"/>
      <c r="Q82" s="393"/>
      <c r="R82" s="393"/>
      <c r="S82" s="393"/>
      <c r="T82" s="393"/>
      <c r="U82" s="393"/>
      <c r="V82" s="393"/>
      <c r="W82" s="393"/>
      <c r="X82" s="393"/>
      <c r="Y82" s="153"/>
    </row>
    <row r="83" spans="1:25" ht="24.75" customHeight="1" x14ac:dyDescent="0.25">
      <c r="A83" s="153"/>
      <c r="B83" s="184" t="str">
        <f>'adv shuffle'!V23</f>
        <v/>
      </c>
      <c r="C83" s="393" t="str">
        <f>'adv shuffle'!W23</f>
        <v/>
      </c>
      <c r="D83" s="393"/>
      <c r="E83" s="393"/>
      <c r="F83" s="393"/>
      <c r="G83" s="393"/>
      <c r="H83" s="393"/>
      <c r="I83" s="393"/>
      <c r="J83" s="393"/>
      <c r="K83" s="393"/>
      <c r="L83" s="393"/>
      <c r="M83" s="393"/>
      <c r="N83" s="393"/>
      <c r="O83" s="393"/>
      <c r="P83" s="393"/>
      <c r="Q83" s="393"/>
      <c r="R83" s="393"/>
      <c r="S83" s="393"/>
      <c r="T83" s="393"/>
      <c r="U83" s="393"/>
      <c r="V83" s="393"/>
      <c r="W83" s="393"/>
      <c r="X83" s="393"/>
      <c r="Y83" s="153"/>
    </row>
    <row r="84" spans="1:25" ht="24.75" customHeight="1" x14ac:dyDescent="0.25">
      <c r="A84" s="153"/>
      <c r="B84" s="184" t="str">
        <f>'adv shuffle'!V24</f>
        <v/>
      </c>
      <c r="C84" s="393" t="str">
        <f>'adv shuffle'!W24</f>
        <v/>
      </c>
      <c r="D84" s="393"/>
      <c r="E84" s="393"/>
      <c r="F84" s="393"/>
      <c r="G84" s="393"/>
      <c r="H84" s="393"/>
      <c r="I84" s="393"/>
      <c r="J84" s="393"/>
      <c r="K84" s="393"/>
      <c r="L84" s="393"/>
      <c r="M84" s="393"/>
      <c r="N84" s="393"/>
      <c r="O84" s="393"/>
      <c r="P84" s="393"/>
      <c r="Q84" s="393"/>
      <c r="R84" s="393"/>
      <c r="S84" s="393"/>
      <c r="T84" s="393"/>
      <c r="U84" s="393"/>
      <c r="V84" s="393"/>
      <c r="W84" s="393"/>
      <c r="X84" s="393"/>
      <c r="Y84" s="153"/>
    </row>
    <row r="85" spans="1:25" ht="24.75" customHeight="1" x14ac:dyDescent="0.25">
      <c r="A85" s="153"/>
      <c r="B85" s="184" t="str">
        <f>'adv shuffle'!V25</f>
        <v/>
      </c>
      <c r="C85" s="393" t="str">
        <f>'adv shuffle'!W25</f>
        <v/>
      </c>
      <c r="D85" s="393"/>
      <c r="E85" s="393"/>
      <c r="F85" s="393"/>
      <c r="G85" s="393"/>
      <c r="H85" s="393"/>
      <c r="I85" s="393"/>
      <c r="J85" s="393"/>
      <c r="K85" s="393"/>
      <c r="L85" s="393"/>
      <c r="M85" s="393"/>
      <c r="N85" s="393"/>
      <c r="O85" s="393"/>
      <c r="P85" s="393"/>
      <c r="Q85" s="393"/>
      <c r="R85" s="393"/>
      <c r="S85" s="393"/>
      <c r="T85" s="393"/>
      <c r="U85" s="393"/>
      <c r="V85" s="393"/>
      <c r="W85" s="393"/>
      <c r="X85" s="393"/>
      <c r="Y85" s="153"/>
    </row>
    <row r="86" spans="1:25" ht="24.75" customHeight="1" x14ac:dyDescent="0.25">
      <c r="A86" s="153"/>
      <c r="B86" s="184" t="str">
        <f>'adv shuffle'!V26</f>
        <v/>
      </c>
      <c r="C86" s="393" t="str">
        <f>'adv shuffle'!W26</f>
        <v/>
      </c>
      <c r="D86" s="393"/>
      <c r="E86" s="393"/>
      <c r="F86" s="393"/>
      <c r="G86" s="393"/>
      <c r="H86" s="393"/>
      <c r="I86" s="393"/>
      <c r="J86" s="393"/>
      <c r="K86" s="393"/>
      <c r="L86" s="393"/>
      <c r="M86" s="393"/>
      <c r="N86" s="393"/>
      <c r="O86" s="393"/>
      <c r="P86" s="393"/>
      <c r="Q86" s="393"/>
      <c r="R86" s="393"/>
      <c r="S86" s="393"/>
      <c r="T86" s="393"/>
      <c r="U86" s="393"/>
      <c r="V86" s="393"/>
      <c r="W86" s="393"/>
      <c r="X86" s="393"/>
      <c r="Y86" s="153"/>
    </row>
    <row r="87" spans="1:25" ht="24.75" customHeight="1" x14ac:dyDescent="0.25">
      <c r="A87" s="153"/>
      <c r="B87" s="184" t="str">
        <f>'adv shuffle'!V27</f>
        <v/>
      </c>
      <c r="C87" s="393" t="str">
        <f>'adv shuffle'!W27</f>
        <v/>
      </c>
      <c r="D87" s="393"/>
      <c r="E87" s="393"/>
      <c r="F87" s="393"/>
      <c r="G87" s="393"/>
      <c r="H87" s="393"/>
      <c r="I87" s="393"/>
      <c r="J87" s="393"/>
      <c r="K87" s="393"/>
      <c r="L87" s="393"/>
      <c r="M87" s="393"/>
      <c r="N87" s="393"/>
      <c r="O87" s="393"/>
      <c r="P87" s="393"/>
      <c r="Q87" s="393"/>
      <c r="R87" s="393"/>
      <c r="S87" s="393"/>
      <c r="T87" s="393"/>
      <c r="U87" s="393"/>
      <c r="V87" s="393"/>
      <c r="W87" s="393"/>
      <c r="X87" s="393"/>
      <c r="Y87" s="153"/>
    </row>
    <row r="88" spans="1:25" s="168" customFormat="1" ht="24.75" customHeight="1" x14ac:dyDescent="0.25">
      <c r="A88" s="153"/>
      <c r="B88" s="184" t="str">
        <f>'adv shuffle'!V28</f>
        <v/>
      </c>
      <c r="C88" s="393" t="str">
        <f>'adv shuffle'!W28</f>
        <v/>
      </c>
      <c r="D88" s="393"/>
      <c r="E88" s="393"/>
      <c r="F88" s="393"/>
      <c r="G88" s="393"/>
      <c r="H88" s="393"/>
      <c r="I88" s="393"/>
      <c r="J88" s="393"/>
      <c r="K88" s="393"/>
      <c r="L88" s="393"/>
      <c r="M88" s="393"/>
      <c r="N88" s="393"/>
      <c r="O88" s="393"/>
      <c r="P88" s="393"/>
      <c r="Q88" s="393"/>
      <c r="R88" s="393"/>
      <c r="S88" s="393"/>
      <c r="T88" s="393"/>
      <c r="U88" s="393"/>
      <c r="V88" s="393"/>
      <c r="W88" s="393"/>
      <c r="X88" s="393"/>
      <c r="Y88" s="153"/>
    </row>
    <row r="89" spans="1:25" ht="24.75" customHeight="1" x14ac:dyDescent="0.25">
      <c r="A89" s="153"/>
      <c r="B89" s="184" t="str">
        <f>'adv shuffle'!V29</f>
        <v/>
      </c>
      <c r="C89" s="393" t="str">
        <f>'adv shuffle'!W29</f>
        <v/>
      </c>
      <c r="D89" s="393"/>
      <c r="E89" s="393"/>
      <c r="F89" s="393"/>
      <c r="G89" s="393"/>
      <c r="H89" s="393"/>
      <c r="I89" s="393"/>
      <c r="J89" s="393"/>
      <c r="K89" s="393"/>
      <c r="L89" s="393"/>
      <c r="M89" s="393"/>
      <c r="N89" s="393"/>
      <c r="O89" s="393"/>
      <c r="P89" s="393"/>
      <c r="Q89" s="393"/>
      <c r="R89" s="393"/>
      <c r="S89" s="393"/>
      <c r="T89" s="393"/>
      <c r="U89" s="393"/>
      <c r="V89" s="393"/>
      <c r="W89" s="393"/>
      <c r="X89" s="393"/>
      <c r="Y89" s="153"/>
    </row>
    <row r="90" spans="1:25" s="168" customFormat="1" ht="24.75" customHeight="1" x14ac:dyDescent="0.25">
      <c r="A90" s="153"/>
      <c r="B90" s="184" t="str">
        <f>'adv shuffle'!V30</f>
        <v/>
      </c>
      <c r="C90" s="393" t="str">
        <f>'adv shuffle'!W30</f>
        <v/>
      </c>
      <c r="D90" s="393"/>
      <c r="E90" s="393"/>
      <c r="F90" s="393"/>
      <c r="G90" s="393"/>
      <c r="H90" s="393"/>
      <c r="I90" s="393"/>
      <c r="J90" s="393"/>
      <c r="K90" s="393"/>
      <c r="L90" s="393"/>
      <c r="M90" s="393"/>
      <c r="N90" s="393"/>
      <c r="O90" s="393"/>
      <c r="P90" s="393"/>
      <c r="Q90" s="393"/>
      <c r="R90" s="393"/>
      <c r="S90" s="393"/>
      <c r="T90" s="393"/>
      <c r="U90" s="393"/>
      <c r="V90" s="393"/>
      <c r="W90" s="393"/>
      <c r="X90" s="393"/>
      <c r="Y90" s="153"/>
    </row>
    <row r="91" spans="1:25" ht="24.75" customHeight="1" x14ac:dyDescent="0.25">
      <c r="A91" s="153"/>
      <c r="B91" s="184" t="str">
        <f>'adv shuffle'!V31</f>
        <v/>
      </c>
      <c r="C91" s="393" t="str">
        <f>'adv shuffle'!W31</f>
        <v/>
      </c>
      <c r="D91" s="393"/>
      <c r="E91" s="393"/>
      <c r="F91" s="393"/>
      <c r="G91" s="393"/>
      <c r="H91" s="393"/>
      <c r="I91" s="393"/>
      <c r="J91" s="393"/>
      <c r="K91" s="393"/>
      <c r="L91" s="393"/>
      <c r="M91" s="393"/>
      <c r="N91" s="393"/>
      <c r="O91" s="393"/>
      <c r="P91" s="393"/>
      <c r="Q91" s="393"/>
      <c r="R91" s="393"/>
      <c r="S91" s="393"/>
      <c r="T91" s="393"/>
      <c r="U91" s="393"/>
      <c r="V91" s="393"/>
      <c r="W91" s="393"/>
      <c r="X91" s="393"/>
      <c r="Y91" s="153"/>
    </row>
    <row r="92" spans="1:25" ht="24.75" customHeight="1" x14ac:dyDescent="0.25">
      <c r="A92" s="153"/>
      <c r="B92" s="184" t="str">
        <f>'adv shuffle'!V32</f>
        <v/>
      </c>
      <c r="C92" s="393" t="str">
        <f>'adv shuffle'!W32</f>
        <v/>
      </c>
      <c r="D92" s="393"/>
      <c r="E92" s="393"/>
      <c r="F92" s="393"/>
      <c r="G92" s="393"/>
      <c r="H92" s="393"/>
      <c r="I92" s="393"/>
      <c r="J92" s="393"/>
      <c r="K92" s="393"/>
      <c r="L92" s="393"/>
      <c r="M92" s="393"/>
      <c r="N92" s="393"/>
      <c r="O92" s="393"/>
      <c r="P92" s="393"/>
      <c r="Q92" s="393"/>
      <c r="R92" s="393"/>
      <c r="S92" s="393"/>
      <c r="T92" s="393"/>
      <c r="U92" s="393"/>
      <c r="V92" s="393"/>
      <c r="W92" s="393"/>
      <c r="X92" s="393"/>
      <c r="Y92" s="153"/>
    </row>
    <row r="93" spans="1:25" ht="24.75" customHeight="1" x14ac:dyDescent="0.25">
      <c r="A93" s="153"/>
      <c r="B93" s="184" t="str">
        <f>'adv shuffle'!V33</f>
        <v/>
      </c>
      <c r="C93" s="393" t="str">
        <f>'adv shuffle'!W33</f>
        <v/>
      </c>
      <c r="D93" s="393"/>
      <c r="E93" s="393"/>
      <c r="F93" s="393"/>
      <c r="G93" s="393"/>
      <c r="H93" s="393"/>
      <c r="I93" s="393"/>
      <c r="J93" s="393"/>
      <c r="K93" s="393"/>
      <c r="L93" s="393"/>
      <c r="M93" s="393"/>
      <c r="N93" s="393"/>
      <c r="O93" s="393"/>
      <c r="P93" s="393"/>
      <c r="Q93" s="393"/>
      <c r="R93" s="393"/>
      <c r="S93" s="393"/>
      <c r="T93" s="393"/>
      <c r="U93" s="393"/>
      <c r="V93" s="393"/>
      <c r="W93" s="393"/>
      <c r="X93" s="393"/>
      <c r="Y93" s="153"/>
    </row>
    <row r="94" spans="1:25" ht="24.75" customHeight="1" x14ac:dyDescent="0.25">
      <c r="A94" s="153"/>
      <c r="B94" s="184" t="str">
        <f>'adv shuffle'!V34</f>
        <v/>
      </c>
      <c r="C94" s="393" t="str">
        <f>'adv shuffle'!W34</f>
        <v/>
      </c>
      <c r="D94" s="393"/>
      <c r="E94" s="393"/>
      <c r="F94" s="393"/>
      <c r="G94" s="393"/>
      <c r="H94" s="393"/>
      <c r="I94" s="393"/>
      <c r="J94" s="393"/>
      <c r="K94" s="393"/>
      <c r="L94" s="393"/>
      <c r="M94" s="393"/>
      <c r="N94" s="393"/>
      <c r="O94" s="393"/>
      <c r="P94" s="393"/>
      <c r="Q94" s="393"/>
      <c r="R94" s="393"/>
      <c r="S94" s="393"/>
      <c r="T94" s="393"/>
      <c r="U94" s="393"/>
      <c r="V94" s="393"/>
      <c r="W94" s="393"/>
      <c r="X94" s="393"/>
      <c r="Y94" s="153"/>
    </row>
    <row r="95" spans="1:25" ht="24.75" customHeight="1" x14ac:dyDescent="0.25">
      <c r="A95" s="153"/>
      <c r="B95" s="184" t="str">
        <f>'adv shuffle'!V35</f>
        <v/>
      </c>
      <c r="C95" s="393" t="str">
        <f>'adv shuffle'!W35</f>
        <v/>
      </c>
      <c r="D95" s="393"/>
      <c r="E95" s="393"/>
      <c r="F95" s="393"/>
      <c r="G95" s="393"/>
      <c r="H95" s="393"/>
      <c r="I95" s="393"/>
      <c r="J95" s="393"/>
      <c r="K95" s="393"/>
      <c r="L95" s="393"/>
      <c r="M95" s="393"/>
      <c r="N95" s="393"/>
      <c r="O95" s="393"/>
      <c r="P95" s="393"/>
      <c r="Q95" s="393"/>
      <c r="R95" s="393"/>
      <c r="S95" s="393"/>
      <c r="T95" s="393"/>
      <c r="U95" s="393"/>
      <c r="V95" s="393"/>
      <c r="W95" s="393"/>
      <c r="X95" s="393"/>
      <c r="Y95" s="153"/>
    </row>
    <row r="96" spans="1:25" ht="24.75" customHeight="1" x14ac:dyDescent="0.25">
      <c r="A96" s="153"/>
      <c r="B96" s="184" t="str">
        <f>'adv shuffle'!V36</f>
        <v/>
      </c>
      <c r="C96" s="393" t="str">
        <f>'adv shuffle'!W36</f>
        <v/>
      </c>
      <c r="D96" s="393"/>
      <c r="E96" s="393"/>
      <c r="F96" s="393"/>
      <c r="G96" s="393"/>
      <c r="H96" s="393"/>
      <c r="I96" s="393"/>
      <c r="J96" s="393"/>
      <c r="K96" s="393"/>
      <c r="L96" s="393"/>
      <c r="M96" s="393"/>
      <c r="N96" s="393"/>
      <c r="O96" s="393"/>
      <c r="P96" s="393"/>
      <c r="Q96" s="393"/>
      <c r="R96" s="393"/>
      <c r="S96" s="393"/>
      <c r="T96" s="393"/>
      <c r="U96" s="393"/>
      <c r="V96" s="393"/>
      <c r="W96" s="393"/>
      <c r="X96" s="393"/>
      <c r="Y96" s="153"/>
    </row>
    <row r="97" spans="1:25" ht="24.75" customHeight="1" x14ac:dyDescent="0.25">
      <c r="A97" s="153"/>
      <c r="B97" s="184" t="str">
        <f>'adv shuffle'!V37</f>
        <v/>
      </c>
      <c r="C97" s="393" t="str">
        <f>'adv shuffle'!W37</f>
        <v/>
      </c>
      <c r="D97" s="393"/>
      <c r="E97" s="393"/>
      <c r="F97" s="393"/>
      <c r="G97" s="393"/>
      <c r="H97" s="393"/>
      <c r="I97" s="393"/>
      <c r="J97" s="393"/>
      <c r="K97" s="393"/>
      <c r="L97" s="393"/>
      <c r="M97" s="393"/>
      <c r="N97" s="393"/>
      <c r="O97" s="393"/>
      <c r="P97" s="393"/>
      <c r="Q97" s="393"/>
      <c r="R97" s="393"/>
      <c r="S97" s="393"/>
      <c r="T97" s="393"/>
      <c r="U97" s="393"/>
      <c r="V97" s="393"/>
      <c r="W97" s="393"/>
      <c r="X97" s="393"/>
      <c r="Y97" s="153"/>
    </row>
    <row r="98" spans="1:25" ht="24.75" customHeight="1" x14ac:dyDescent="0.25">
      <c r="A98" s="153"/>
      <c r="B98" s="184" t="str">
        <f>'adv shuffle'!V38</f>
        <v/>
      </c>
      <c r="C98" s="393" t="str">
        <f>'adv shuffle'!W38</f>
        <v/>
      </c>
      <c r="D98" s="393"/>
      <c r="E98" s="393"/>
      <c r="F98" s="393"/>
      <c r="G98" s="393"/>
      <c r="H98" s="393"/>
      <c r="I98" s="393"/>
      <c r="J98" s="393"/>
      <c r="K98" s="393"/>
      <c r="L98" s="393"/>
      <c r="M98" s="393"/>
      <c r="N98" s="393"/>
      <c r="O98" s="393"/>
      <c r="P98" s="393"/>
      <c r="Q98" s="393"/>
      <c r="R98" s="393"/>
      <c r="S98" s="393"/>
      <c r="T98" s="393"/>
      <c r="U98" s="393"/>
      <c r="V98" s="393"/>
      <c r="W98" s="393"/>
      <c r="X98" s="393"/>
      <c r="Y98" s="153"/>
    </row>
    <row r="99" spans="1:25"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row>
  </sheetData>
  <mergeCells count="95">
    <mergeCell ref="C94:X94"/>
    <mergeCell ref="C95:X95"/>
    <mergeCell ref="C96:X96"/>
    <mergeCell ref="C97:X97"/>
    <mergeCell ref="C98:X98"/>
    <mergeCell ref="C84:X84"/>
    <mergeCell ref="C85:X85"/>
    <mergeCell ref="C70:X70"/>
    <mergeCell ref="C75:X75"/>
    <mergeCell ref="C76:X76"/>
    <mergeCell ref="C77:X77"/>
    <mergeCell ref="C78:X78"/>
    <mergeCell ref="C79:X79"/>
    <mergeCell ref="C80:X80"/>
    <mergeCell ref="C71:X71"/>
    <mergeCell ref="C72:X72"/>
    <mergeCell ref="C73:X73"/>
    <mergeCell ref="C74:X74"/>
    <mergeCell ref="C90:X90"/>
    <mergeCell ref="C91:X91"/>
    <mergeCell ref="C92:X92"/>
    <mergeCell ref="C93:X93"/>
    <mergeCell ref="C86:X86"/>
    <mergeCell ref="C87:X87"/>
    <mergeCell ref="C89:X89"/>
    <mergeCell ref="C88:X88"/>
    <mergeCell ref="E2:V2"/>
    <mergeCell ref="C81:X81"/>
    <mergeCell ref="C82:X82"/>
    <mergeCell ref="C83:X83"/>
    <mergeCell ref="B57:X57"/>
    <mergeCell ref="C59:X59"/>
    <mergeCell ref="C60:X60"/>
    <mergeCell ref="C62:X62"/>
    <mergeCell ref="C63:X63"/>
    <mergeCell ref="C64:X64"/>
    <mergeCell ref="C65:X65"/>
    <mergeCell ref="C66:X66"/>
    <mergeCell ref="C67:X67"/>
    <mergeCell ref="C68:X68"/>
    <mergeCell ref="C69:X69"/>
    <mergeCell ref="X41:X42"/>
    <mergeCell ref="X3:X5"/>
    <mergeCell ref="E13:J13"/>
    <mergeCell ref="C32:C34"/>
    <mergeCell ref="B25:B26"/>
    <mergeCell ref="C20:C21"/>
    <mergeCell ref="B32:B34"/>
    <mergeCell ref="B27:C31"/>
    <mergeCell ref="X6:X10"/>
    <mergeCell ref="E4:J4"/>
    <mergeCell ref="E7:J7"/>
    <mergeCell ref="E10:J10"/>
    <mergeCell ref="X11:X13"/>
    <mergeCell ref="B53:C53"/>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E41:V41"/>
    <mergeCell ref="B2:C2"/>
    <mergeCell ref="B23:C24"/>
    <mergeCell ref="B41:C41"/>
    <mergeCell ref="C4:C6"/>
    <mergeCell ref="C7:C9"/>
    <mergeCell ref="C10:C12"/>
    <mergeCell ref="C13:C14"/>
    <mergeCell ref="B4:B6"/>
    <mergeCell ref="B20:B21"/>
    <mergeCell ref="B13:B14"/>
    <mergeCell ref="B10:B12"/>
    <mergeCell ref="B7:B9"/>
    <mergeCell ref="B35:C39"/>
    <mergeCell ref="E39:V40"/>
    <mergeCell ref="X39:X40"/>
    <mergeCell ref="L27:P27"/>
    <mergeCell ref="B15:B16"/>
    <mergeCell ref="C15:C16"/>
    <mergeCell ref="C17:C19"/>
    <mergeCell ref="B17:B19"/>
    <mergeCell ref="X14:X17"/>
    <mergeCell ref="X21:X23"/>
    <mergeCell ref="L23:P23"/>
    <mergeCell ref="L21:P21"/>
    <mergeCell ref="E15:J15"/>
  </mergeCells>
  <conditionalFormatting sqref="M4:O4">
    <cfRule type="cellIs" dxfId="208" priority="426" operator="equal">
      <formula>1</formula>
    </cfRule>
  </conditionalFormatting>
  <conditionalFormatting sqref="I23">
    <cfRule type="cellIs" dxfId="207" priority="346" operator="equal">
      <formula>1</formula>
    </cfRule>
  </conditionalFormatting>
  <conditionalFormatting sqref="G35">
    <cfRule type="cellIs" dxfId="206" priority="356" operator="equal">
      <formula>1</formula>
    </cfRule>
  </conditionalFormatting>
  <conditionalFormatting sqref="H23">
    <cfRule type="cellIs" dxfId="205" priority="354" operator="equal">
      <formula>1</formula>
    </cfRule>
  </conditionalFormatting>
  <conditionalFormatting sqref="H27">
    <cfRule type="cellIs" dxfId="204" priority="352" operator="equal">
      <formula>1</formula>
    </cfRule>
  </conditionalFormatting>
  <conditionalFormatting sqref="H31">
    <cfRule type="cellIs" dxfId="203" priority="350" operator="equal">
      <formula>1</formula>
    </cfRule>
  </conditionalFormatting>
  <conditionalFormatting sqref="I27">
    <cfRule type="cellIs" dxfId="202" priority="344" operator="equal">
      <formula>1</formula>
    </cfRule>
  </conditionalFormatting>
  <conditionalFormatting sqref="I31">
    <cfRule type="cellIs" dxfId="201" priority="342" operator="equal">
      <formula>1</formula>
    </cfRule>
  </conditionalFormatting>
  <conditionalFormatting sqref="I35">
    <cfRule type="cellIs" dxfId="200" priority="340" operator="equal">
      <formula>1</formula>
    </cfRule>
  </conditionalFormatting>
  <conditionalFormatting sqref="N4">
    <cfRule type="cellIs" dxfId="199" priority="425" operator="equal">
      <formula>1</formula>
    </cfRule>
  </conditionalFormatting>
  <conditionalFormatting sqref="O4">
    <cfRule type="cellIs" dxfId="198" priority="424" operator="equal">
      <formula>1</formula>
    </cfRule>
  </conditionalFormatting>
  <conditionalFormatting sqref="F21">
    <cfRule type="cellIs" dxfId="197" priority="423" operator="equal">
      <formula>1</formula>
    </cfRule>
  </conditionalFormatting>
  <conditionalFormatting sqref="J29">
    <cfRule type="cellIs" dxfId="196" priority="335" operator="equal">
      <formula>1</formula>
    </cfRule>
  </conditionalFormatting>
  <conditionalFormatting sqref="J21">
    <cfRule type="cellIs" dxfId="195" priority="339" operator="equal">
      <formula>1</formula>
    </cfRule>
  </conditionalFormatting>
  <conditionalFormatting sqref="I29">
    <cfRule type="cellIs" dxfId="194" priority="343" operator="equal">
      <formula>1</formula>
    </cfRule>
  </conditionalFormatting>
  <conditionalFormatting sqref="M7">
    <cfRule type="cellIs" dxfId="193" priority="422" operator="equal">
      <formula>1</formula>
    </cfRule>
  </conditionalFormatting>
  <conditionalFormatting sqref="I33">
    <cfRule type="cellIs" dxfId="192" priority="341" operator="equal">
      <formula>1</formula>
    </cfRule>
  </conditionalFormatting>
  <conditionalFormatting sqref="M10">
    <cfRule type="cellIs" dxfId="191" priority="421" operator="equal">
      <formula>1</formula>
    </cfRule>
  </conditionalFormatting>
  <conditionalFormatting sqref="M13">
    <cfRule type="cellIs" dxfId="190" priority="420" operator="equal">
      <formula>1</formula>
    </cfRule>
  </conditionalFormatting>
  <conditionalFormatting sqref="M15">
    <cfRule type="cellIs" dxfId="189" priority="419" operator="equal">
      <formula>1</formula>
    </cfRule>
  </conditionalFormatting>
  <conditionalFormatting sqref="N7">
    <cfRule type="cellIs" dxfId="188" priority="418" operator="equal">
      <formula>1</formula>
    </cfRule>
  </conditionalFormatting>
  <conditionalFormatting sqref="O7">
    <cfRule type="cellIs" dxfId="187" priority="417" operator="equal">
      <formula>1</formula>
    </cfRule>
  </conditionalFormatting>
  <conditionalFormatting sqref="N10">
    <cfRule type="cellIs" dxfId="186" priority="416" operator="equal">
      <formula>1</formula>
    </cfRule>
  </conditionalFormatting>
  <conditionalFormatting sqref="O10">
    <cfRule type="cellIs" dxfId="185" priority="415" operator="equal">
      <formula>1</formula>
    </cfRule>
  </conditionalFormatting>
  <conditionalFormatting sqref="N13">
    <cfRule type="cellIs" dxfId="184" priority="414" operator="equal">
      <formula>1</formula>
    </cfRule>
  </conditionalFormatting>
  <conditionalFormatting sqref="O13">
    <cfRule type="cellIs" dxfId="183" priority="413" operator="equal">
      <formula>1</formula>
    </cfRule>
  </conditionalFormatting>
  <conditionalFormatting sqref="N15">
    <cfRule type="cellIs" dxfId="182" priority="412" operator="equal">
      <formula>1</formula>
    </cfRule>
  </conditionalFormatting>
  <conditionalFormatting sqref="O15">
    <cfRule type="cellIs" dxfId="181" priority="411" operator="equal">
      <formula>1</formula>
    </cfRule>
  </conditionalFormatting>
  <conditionalFormatting sqref="F23">
    <cfRule type="cellIs" dxfId="180" priority="410" operator="equal">
      <formula>1</formula>
    </cfRule>
  </conditionalFormatting>
  <conditionalFormatting sqref="F25">
    <cfRule type="cellIs" dxfId="179" priority="409" operator="equal">
      <formula>1</formula>
    </cfRule>
  </conditionalFormatting>
  <conditionalFormatting sqref="F27">
    <cfRule type="cellIs" dxfId="178" priority="408" operator="equal">
      <formula>1</formula>
    </cfRule>
  </conditionalFormatting>
  <conditionalFormatting sqref="F29">
    <cfRule type="cellIs" dxfId="177" priority="407" operator="equal">
      <formula>1</formula>
    </cfRule>
  </conditionalFormatting>
  <conditionalFormatting sqref="F31">
    <cfRule type="cellIs" dxfId="176" priority="406" operator="equal">
      <formula>1</formula>
    </cfRule>
  </conditionalFormatting>
  <conditionalFormatting sqref="F33">
    <cfRule type="cellIs" dxfId="175" priority="405" operator="equal">
      <formula>1</formula>
    </cfRule>
  </conditionalFormatting>
  <conditionalFormatting sqref="F35">
    <cfRule type="cellIs" dxfId="174" priority="404" operator="equal">
      <formula>1</formula>
    </cfRule>
  </conditionalFormatting>
  <conditionalFormatting sqref="H35">
    <cfRule type="cellIs" dxfId="173" priority="348" operator="equal">
      <formula>1</formula>
    </cfRule>
  </conditionalFormatting>
  <conditionalFormatting sqref="J23">
    <cfRule type="cellIs" dxfId="172" priority="338" operator="equal">
      <formula>1</formula>
    </cfRule>
  </conditionalFormatting>
  <conditionalFormatting sqref="J27">
    <cfRule type="cellIs" dxfId="171" priority="336" operator="equal">
      <formula>1</formula>
    </cfRule>
  </conditionalFormatting>
  <conditionalFormatting sqref="T29">
    <cfRule type="cellIs" dxfId="170" priority="375" operator="equal">
      <formula>1</formula>
    </cfRule>
  </conditionalFormatting>
  <conditionalFormatting sqref="S31">
    <cfRule type="cellIs" dxfId="169" priority="382" operator="equal">
      <formula>1</formula>
    </cfRule>
  </conditionalFormatting>
  <conditionalFormatting sqref="R33">
    <cfRule type="cellIs" dxfId="168" priority="389" operator="equal">
      <formula>1</formula>
    </cfRule>
  </conditionalFormatting>
  <conditionalFormatting sqref="Q21">
    <cfRule type="cellIs" dxfId="167" priority="403" operator="equal">
      <formula>1</formula>
    </cfRule>
  </conditionalFormatting>
  <conditionalFormatting sqref="Q23">
    <cfRule type="cellIs" dxfId="166" priority="402" operator="equal">
      <formula>1</formula>
    </cfRule>
  </conditionalFormatting>
  <conditionalFormatting sqref="Q25">
    <cfRule type="cellIs" dxfId="165" priority="401" operator="equal">
      <formula>1</formula>
    </cfRule>
  </conditionalFormatting>
  <conditionalFormatting sqref="Q27">
    <cfRule type="cellIs" dxfId="164" priority="400" operator="equal">
      <formula>1</formula>
    </cfRule>
  </conditionalFormatting>
  <conditionalFormatting sqref="Q29">
    <cfRule type="cellIs" dxfId="163" priority="399" operator="equal">
      <formula>1</formula>
    </cfRule>
  </conditionalFormatting>
  <conditionalFormatting sqref="Q31">
    <cfRule type="cellIs" dxfId="162" priority="398" operator="equal">
      <formula>1</formula>
    </cfRule>
  </conditionalFormatting>
  <conditionalFormatting sqref="Q33">
    <cfRule type="cellIs" dxfId="161" priority="397" operator="equal">
      <formula>1</formula>
    </cfRule>
  </conditionalFormatting>
  <conditionalFormatting sqref="R21">
    <cfRule type="cellIs" dxfId="160" priority="395" operator="equal">
      <formula>1</formula>
    </cfRule>
  </conditionalFormatting>
  <conditionalFormatting sqref="R23">
    <cfRule type="cellIs" dxfId="159" priority="394" operator="equal">
      <formula>1</formula>
    </cfRule>
  </conditionalFormatting>
  <conditionalFormatting sqref="R25">
    <cfRule type="cellIs" dxfId="158" priority="393" operator="equal">
      <formula>1</formula>
    </cfRule>
  </conditionalFormatting>
  <conditionalFormatting sqref="R27">
    <cfRule type="cellIs" dxfId="157" priority="392" operator="equal">
      <formula>1</formula>
    </cfRule>
  </conditionalFormatting>
  <conditionalFormatting sqref="R29">
    <cfRule type="cellIs" dxfId="156" priority="391" operator="equal">
      <formula>1</formula>
    </cfRule>
  </conditionalFormatting>
  <conditionalFormatting sqref="R31">
    <cfRule type="cellIs" dxfId="155" priority="390" operator="equal">
      <formula>1</formula>
    </cfRule>
  </conditionalFormatting>
  <conditionalFormatting sqref="R35">
    <cfRule type="cellIs" dxfId="154" priority="388" operator="equal">
      <formula>1</formula>
    </cfRule>
  </conditionalFormatting>
  <conditionalFormatting sqref="S21">
    <cfRule type="cellIs" dxfId="153" priority="387" operator="equal">
      <formula>1</formula>
    </cfRule>
  </conditionalFormatting>
  <conditionalFormatting sqref="S23">
    <cfRule type="cellIs" dxfId="152" priority="386" operator="equal">
      <formula>1</formula>
    </cfRule>
  </conditionalFormatting>
  <conditionalFormatting sqref="S25">
    <cfRule type="cellIs" dxfId="151" priority="385" operator="equal">
      <formula>1</formula>
    </cfRule>
  </conditionalFormatting>
  <conditionalFormatting sqref="S27">
    <cfRule type="cellIs" dxfId="150" priority="384" operator="equal">
      <formula>1</formula>
    </cfRule>
  </conditionalFormatting>
  <conditionalFormatting sqref="S29">
    <cfRule type="cellIs" dxfId="149" priority="383" operator="equal">
      <formula>1</formula>
    </cfRule>
  </conditionalFormatting>
  <conditionalFormatting sqref="S33">
    <cfRule type="cellIs" dxfId="148" priority="381" operator="equal">
      <formula>1</formula>
    </cfRule>
  </conditionalFormatting>
  <conditionalFormatting sqref="S35">
    <cfRule type="cellIs" dxfId="147" priority="380" operator="equal">
      <formula>1</formula>
    </cfRule>
  </conditionalFormatting>
  <conditionalFormatting sqref="T21">
    <cfRule type="cellIs" dxfId="146" priority="379" operator="equal">
      <formula>1</formula>
    </cfRule>
  </conditionalFormatting>
  <conditionalFormatting sqref="T23">
    <cfRule type="cellIs" dxfId="145" priority="378" operator="equal">
      <formula>1</formula>
    </cfRule>
  </conditionalFormatting>
  <conditionalFormatting sqref="T25">
    <cfRule type="cellIs" dxfId="144" priority="377" operator="equal">
      <formula>1</formula>
    </cfRule>
  </conditionalFormatting>
  <conditionalFormatting sqref="T27">
    <cfRule type="cellIs" dxfId="143" priority="376" operator="equal">
      <formula>1</formula>
    </cfRule>
  </conditionalFormatting>
  <conditionalFormatting sqref="T31">
    <cfRule type="cellIs" dxfId="142" priority="374" operator="equal">
      <formula>1</formula>
    </cfRule>
  </conditionalFormatting>
  <conditionalFormatting sqref="T33">
    <cfRule type="cellIs" dxfId="141" priority="373" operator="equal">
      <formula>1</formula>
    </cfRule>
  </conditionalFormatting>
  <conditionalFormatting sqref="T35">
    <cfRule type="cellIs" dxfId="140" priority="372" operator="equal">
      <formula>1</formula>
    </cfRule>
  </conditionalFormatting>
  <conditionalFormatting sqref="U21">
    <cfRule type="cellIs" dxfId="139" priority="371" operator="equal">
      <formula>1</formula>
    </cfRule>
  </conditionalFormatting>
  <conditionalFormatting sqref="U23">
    <cfRule type="cellIs" dxfId="138" priority="370" operator="equal">
      <formula>1</formula>
    </cfRule>
  </conditionalFormatting>
  <conditionalFormatting sqref="U25">
    <cfRule type="cellIs" dxfId="137" priority="369" operator="equal">
      <formula>1</formula>
    </cfRule>
  </conditionalFormatting>
  <conditionalFormatting sqref="U27">
    <cfRule type="cellIs" dxfId="136" priority="368" operator="equal">
      <formula>1</formula>
    </cfRule>
  </conditionalFormatting>
  <conditionalFormatting sqref="U29">
    <cfRule type="cellIs" dxfId="135" priority="367" operator="equal">
      <formula>1</formula>
    </cfRule>
  </conditionalFormatting>
  <conditionalFormatting sqref="U31">
    <cfRule type="cellIs" dxfId="134" priority="366" operator="equal">
      <formula>1</formula>
    </cfRule>
  </conditionalFormatting>
  <conditionalFormatting sqref="U33">
    <cfRule type="cellIs" dxfId="133" priority="365" operator="equal">
      <formula>1</formula>
    </cfRule>
  </conditionalFormatting>
  <conditionalFormatting sqref="U35">
    <cfRule type="cellIs" dxfId="132" priority="364" operator="equal">
      <formula>1</formula>
    </cfRule>
  </conditionalFormatting>
  <conditionalFormatting sqref="G21">
    <cfRule type="cellIs" dxfId="131" priority="363" operator="equal">
      <formula>1</formula>
    </cfRule>
  </conditionalFormatting>
  <conditionalFormatting sqref="G23">
    <cfRule type="cellIs" dxfId="130" priority="362" operator="equal">
      <formula>1</formula>
    </cfRule>
  </conditionalFormatting>
  <conditionalFormatting sqref="G25">
    <cfRule type="cellIs" dxfId="129" priority="361" operator="equal">
      <formula>1</formula>
    </cfRule>
  </conditionalFormatting>
  <conditionalFormatting sqref="G27">
    <cfRule type="cellIs" dxfId="128" priority="360" operator="equal">
      <formula>1</formula>
    </cfRule>
  </conditionalFormatting>
  <conditionalFormatting sqref="G29">
    <cfRule type="cellIs" dxfId="127" priority="359" operator="equal">
      <formula>1</formula>
    </cfRule>
  </conditionalFormatting>
  <conditionalFormatting sqref="G31">
    <cfRule type="cellIs" dxfId="126" priority="358" operator="equal">
      <formula>1</formula>
    </cfRule>
  </conditionalFormatting>
  <conditionalFormatting sqref="G33">
    <cfRule type="cellIs" dxfId="125" priority="357" operator="equal">
      <formula>1</formula>
    </cfRule>
  </conditionalFormatting>
  <conditionalFormatting sqref="H21">
    <cfRule type="cellIs" dxfId="124" priority="355" operator="equal">
      <formula>1</formula>
    </cfRule>
  </conditionalFormatting>
  <conditionalFormatting sqref="H25">
    <cfRule type="cellIs" dxfId="123" priority="353" operator="equal">
      <formula>1</formula>
    </cfRule>
  </conditionalFormatting>
  <conditionalFormatting sqref="H29">
    <cfRule type="cellIs" dxfId="122" priority="351" operator="equal">
      <formula>1</formula>
    </cfRule>
  </conditionalFormatting>
  <conditionalFormatting sqref="H33">
    <cfRule type="cellIs" dxfId="121" priority="349" operator="equal">
      <formula>1</formula>
    </cfRule>
  </conditionalFormatting>
  <conditionalFormatting sqref="I21">
    <cfRule type="cellIs" dxfId="120" priority="347" operator="equal">
      <formula>1</formula>
    </cfRule>
  </conditionalFormatting>
  <conditionalFormatting sqref="I25">
    <cfRule type="cellIs" dxfId="119" priority="345" operator="equal">
      <formula>1</formula>
    </cfRule>
  </conditionalFormatting>
  <conditionalFormatting sqref="J25">
    <cfRule type="cellIs" dxfId="118" priority="337" operator="equal">
      <formula>1</formula>
    </cfRule>
  </conditionalFormatting>
  <conditionalFormatting sqref="J31">
    <cfRule type="cellIs" dxfId="117" priority="334" operator="equal">
      <formula>1</formula>
    </cfRule>
  </conditionalFormatting>
  <conditionalFormatting sqref="J33">
    <cfRule type="cellIs" dxfId="116" priority="333" operator="equal">
      <formula>1</formula>
    </cfRule>
  </conditionalFormatting>
  <conditionalFormatting sqref="J35">
    <cfRule type="cellIs" dxfId="115" priority="332"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14" priority="331" operator="equal">
      <formula>0</formula>
    </cfRule>
  </conditionalFormatting>
  <conditionalFormatting sqref="B41:B42">
    <cfRule type="cellIs" dxfId="113" priority="327" operator="equal">
      <formula>0</formula>
    </cfRule>
  </conditionalFormatting>
  <conditionalFormatting sqref="E43">
    <cfRule type="cellIs" dxfId="112" priority="326" operator="equal">
      <formula>0</formula>
    </cfRule>
  </conditionalFormatting>
  <conditionalFormatting sqref="L23">
    <cfRule type="cellIs" dxfId="111" priority="313" operator="equal">
      <formula>0</formula>
    </cfRule>
  </conditionalFormatting>
  <conditionalFormatting sqref="E4">
    <cfRule type="cellIs" dxfId="110" priority="321" operator="equal">
      <formula>0</formula>
    </cfRule>
  </conditionalFormatting>
  <conditionalFormatting sqref="E7">
    <cfRule type="cellIs" dxfId="109" priority="320" operator="equal">
      <formula>0</formula>
    </cfRule>
  </conditionalFormatting>
  <conditionalFormatting sqref="E10">
    <cfRule type="cellIs" dxfId="108" priority="319" operator="equal">
      <formula>0</formula>
    </cfRule>
  </conditionalFormatting>
  <conditionalFormatting sqref="E13">
    <cfRule type="cellIs" dxfId="107" priority="318" operator="equal">
      <formula>0</formula>
    </cfRule>
  </conditionalFormatting>
  <conditionalFormatting sqref="E15">
    <cfRule type="cellIs" dxfId="106" priority="317" operator="equal">
      <formula>0</formula>
    </cfRule>
  </conditionalFormatting>
  <conditionalFormatting sqref="L29">
    <cfRule type="cellIs" dxfId="105" priority="316" operator="equal">
      <formula>0</formula>
    </cfRule>
  </conditionalFormatting>
  <conditionalFormatting sqref="L27">
    <cfRule type="cellIs" dxfId="104" priority="315" operator="equal">
      <formula>0</formula>
    </cfRule>
  </conditionalFormatting>
  <conditionalFormatting sqref="L25">
    <cfRule type="cellIs" dxfId="103" priority="314" operator="equal">
      <formula>0</formula>
    </cfRule>
  </conditionalFormatting>
  <conditionalFormatting sqref="L21">
    <cfRule type="cellIs" dxfId="102" priority="312" operator="equal">
      <formula>0</formula>
    </cfRule>
  </conditionalFormatting>
  <conditionalFormatting sqref="L31">
    <cfRule type="cellIs" dxfId="101" priority="311" operator="equal">
      <formula>0</formula>
    </cfRule>
  </conditionalFormatting>
  <conditionalFormatting sqref="L33">
    <cfRule type="cellIs" dxfId="100" priority="310" operator="equal">
      <formula>0</formula>
    </cfRule>
  </conditionalFormatting>
  <conditionalFormatting sqref="L35">
    <cfRule type="cellIs" dxfId="99" priority="309" operator="equal">
      <formula>0</formula>
    </cfRule>
  </conditionalFormatting>
  <conditionalFormatting sqref="X14:X17">
    <cfRule type="cellIs" dxfId="98" priority="302" operator="equal">
      <formula>0</formula>
    </cfRule>
  </conditionalFormatting>
  <conditionalFormatting sqref="X21:X36 X41 X43:X49">
    <cfRule type="cellIs" dxfId="97" priority="301" operator="equal">
      <formula>0</formula>
    </cfRule>
  </conditionalFormatting>
  <conditionalFormatting sqref="C32">
    <cfRule type="cellIs" dxfId="96" priority="306" operator="equal">
      <formula>0</formula>
    </cfRule>
  </conditionalFormatting>
  <conditionalFormatting sqref="B53">
    <cfRule type="cellIs" dxfId="95" priority="303" operator="equal">
      <formula>0</formula>
    </cfRule>
  </conditionalFormatting>
  <conditionalFormatting sqref="F27">
    <cfRule type="cellIs" dxfId="94" priority="300" operator="equal">
      <formula>1</formula>
    </cfRule>
  </conditionalFormatting>
  <conditionalFormatting sqref="G27">
    <cfRule type="cellIs" dxfId="93" priority="299" operator="equal">
      <formula>1</formula>
    </cfRule>
  </conditionalFormatting>
  <conditionalFormatting sqref="H27">
    <cfRule type="cellIs" dxfId="92" priority="298" operator="equal">
      <formula>1</formula>
    </cfRule>
  </conditionalFormatting>
  <conditionalFormatting sqref="I27">
    <cfRule type="cellIs" dxfId="91" priority="297" operator="equal">
      <formula>1</formula>
    </cfRule>
  </conditionalFormatting>
  <conditionalFormatting sqref="J27">
    <cfRule type="cellIs" dxfId="90" priority="296" operator="equal">
      <formula>1</formula>
    </cfRule>
  </conditionalFormatting>
  <conditionalFormatting sqref="F29">
    <cfRule type="cellIs" dxfId="89" priority="295" operator="equal">
      <formula>1</formula>
    </cfRule>
  </conditionalFormatting>
  <conditionalFormatting sqref="G29">
    <cfRule type="cellIs" dxfId="88" priority="294" operator="equal">
      <formula>1</formula>
    </cfRule>
  </conditionalFormatting>
  <conditionalFormatting sqref="H29">
    <cfRule type="cellIs" dxfId="87" priority="293" operator="equal">
      <formula>1</formula>
    </cfRule>
  </conditionalFormatting>
  <conditionalFormatting sqref="I29">
    <cfRule type="cellIs" dxfId="86" priority="292" operator="equal">
      <formula>1</formula>
    </cfRule>
  </conditionalFormatting>
  <conditionalFormatting sqref="J29">
    <cfRule type="cellIs" dxfId="85" priority="291" operator="equal">
      <formula>1</formula>
    </cfRule>
  </conditionalFormatting>
  <conditionalFormatting sqref="F31">
    <cfRule type="cellIs" dxfId="84" priority="290" operator="equal">
      <formula>1</formula>
    </cfRule>
  </conditionalFormatting>
  <conditionalFormatting sqref="G31">
    <cfRule type="cellIs" dxfId="83" priority="289" operator="equal">
      <formula>1</formula>
    </cfRule>
  </conditionalFormatting>
  <conditionalFormatting sqref="H31">
    <cfRule type="cellIs" dxfId="82" priority="288" operator="equal">
      <formula>1</formula>
    </cfRule>
  </conditionalFormatting>
  <conditionalFormatting sqref="I31">
    <cfRule type="cellIs" dxfId="81" priority="287" operator="equal">
      <formula>1</formula>
    </cfRule>
  </conditionalFormatting>
  <conditionalFormatting sqref="J31">
    <cfRule type="cellIs" dxfId="80" priority="286" operator="equal">
      <formula>1</formula>
    </cfRule>
  </conditionalFormatting>
  <conditionalFormatting sqref="F27">
    <cfRule type="cellIs" dxfId="79" priority="285" operator="equal">
      <formula>1</formula>
    </cfRule>
  </conditionalFormatting>
  <conditionalFormatting sqref="G27">
    <cfRule type="cellIs" dxfId="78" priority="284" operator="equal">
      <formula>1</formula>
    </cfRule>
  </conditionalFormatting>
  <conditionalFormatting sqref="H27">
    <cfRule type="cellIs" dxfId="77" priority="283" operator="equal">
      <formula>1</formula>
    </cfRule>
  </conditionalFormatting>
  <conditionalFormatting sqref="I27">
    <cfRule type="cellIs" dxfId="76" priority="282" operator="equal">
      <formula>1</formula>
    </cfRule>
  </conditionalFormatting>
  <conditionalFormatting sqref="J27">
    <cfRule type="cellIs" dxfId="75" priority="281" operator="equal">
      <formula>1</formula>
    </cfRule>
  </conditionalFormatting>
  <conditionalFormatting sqref="F29">
    <cfRule type="cellIs" dxfId="74" priority="280" operator="equal">
      <formula>1</formula>
    </cfRule>
  </conditionalFormatting>
  <conditionalFormatting sqref="G29">
    <cfRule type="cellIs" dxfId="73" priority="279" operator="equal">
      <formula>1</formula>
    </cfRule>
  </conditionalFormatting>
  <conditionalFormatting sqref="H29">
    <cfRule type="cellIs" dxfId="72" priority="278" operator="equal">
      <formula>1</formula>
    </cfRule>
  </conditionalFormatting>
  <conditionalFormatting sqref="I29">
    <cfRule type="cellIs" dxfId="71" priority="277" operator="equal">
      <formula>1</formula>
    </cfRule>
  </conditionalFormatting>
  <conditionalFormatting sqref="J29">
    <cfRule type="cellIs" dxfId="70" priority="276" operator="equal">
      <formula>1</formula>
    </cfRule>
  </conditionalFormatting>
  <conditionalFormatting sqref="F31">
    <cfRule type="cellIs" dxfId="69" priority="275" operator="equal">
      <formula>1</formula>
    </cfRule>
  </conditionalFormatting>
  <conditionalFormatting sqref="G31">
    <cfRule type="cellIs" dxfId="68" priority="274" operator="equal">
      <formula>1</formula>
    </cfRule>
  </conditionalFormatting>
  <conditionalFormatting sqref="H31">
    <cfRule type="cellIs" dxfId="67" priority="273" operator="equal">
      <formula>1</formula>
    </cfRule>
  </conditionalFormatting>
  <conditionalFormatting sqref="I31">
    <cfRule type="cellIs" dxfId="66" priority="272" operator="equal">
      <formula>1</formula>
    </cfRule>
  </conditionalFormatting>
  <conditionalFormatting sqref="J31">
    <cfRule type="cellIs" dxfId="65" priority="271" operator="equal">
      <formula>1</formula>
    </cfRule>
  </conditionalFormatting>
  <conditionalFormatting sqref="F33">
    <cfRule type="cellIs" dxfId="64" priority="270" operator="equal">
      <formula>1</formula>
    </cfRule>
  </conditionalFormatting>
  <conditionalFormatting sqref="G33">
    <cfRule type="cellIs" dxfId="63" priority="269" operator="equal">
      <formula>1</formula>
    </cfRule>
  </conditionalFormatting>
  <conditionalFormatting sqref="H33">
    <cfRule type="cellIs" dxfId="62" priority="268" operator="equal">
      <formula>1</formula>
    </cfRule>
  </conditionalFormatting>
  <conditionalFormatting sqref="I33">
    <cfRule type="cellIs" dxfId="61" priority="267" operator="equal">
      <formula>1</formula>
    </cfRule>
  </conditionalFormatting>
  <conditionalFormatting sqref="J33">
    <cfRule type="cellIs" dxfId="60" priority="266" operator="equal">
      <formula>1</formula>
    </cfRule>
  </conditionalFormatting>
  <conditionalFormatting sqref="F35">
    <cfRule type="cellIs" dxfId="59" priority="265" operator="equal">
      <formula>1</formula>
    </cfRule>
  </conditionalFormatting>
  <conditionalFormatting sqref="G35">
    <cfRule type="cellIs" dxfId="58" priority="264" operator="equal">
      <formula>1</formula>
    </cfRule>
  </conditionalFormatting>
  <conditionalFormatting sqref="H35">
    <cfRule type="cellIs" dxfId="57" priority="263" operator="equal">
      <formula>1</formula>
    </cfRule>
  </conditionalFormatting>
  <conditionalFormatting sqref="I35">
    <cfRule type="cellIs" dxfId="56" priority="262" operator="equal">
      <formula>1</formula>
    </cfRule>
  </conditionalFormatting>
  <conditionalFormatting sqref="J35">
    <cfRule type="cellIs" dxfId="55" priority="261" operator="equal">
      <formula>1</formula>
    </cfRule>
  </conditionalFormatting>
  <conditionalFormatting sqref="F23">
    <cfRule type="cellIs" dxfId="54" priority="260" operator="equal">
      <formula>1</formula>
    </cfRule>
  </conditionalFormatting>
  <conditionalFormatting sqref="G23">
    <cfRule type="cellIs" dxfId="53" priority="259" operator="equal">
      <formula>1</formula>
    </cfRule>
  </conditionalFormatting>
  <conditionalFormatting sqref="H23">
    <cfRule type="cellIs" dxfId="52" priority="258" operator="equal">
      <formula>1</formula>
    </cfRule>
  </conditionalFormatting>
  <conditionalFormatting sqref="I23">
    <cfRule type="cellIs" dxfId="51" priority="257" operator="equal">
      <formula>1</formula>
    </cfRule>
  </conditionalFormatting>
  <conditionalFormatting sqref="J23">
    <cfRule type="cellIs" dxfId="50" priority="256" operator="equal">
      <formula>1</formula>
    </cfRule>
  </conditionalFormatting>
  <conditionalFormatting sqref="F21">
    <cfRule type="cellIs" dxfId="49" priority="255" operator="equal">
      <formula>1</formula>
    </cfRule>
  </conditionalFormatting>
  <conditionalFormatting sqref="G21">
    <cfRule type="cellIs" dxfId="48" priority="254" operator="equal">
      <formula>1</formula>
    </cfRule>
  </conditionalFormatting>
  <conditionalFormatting sqref="H21">
    <cfRule type="cellIs" dxfId="47" priority="253" operator="equal">
      <formula>1</formula>
    </cfRule>
  </conditionalFormatting>
  <conditionalFormatting sqref="I21">
    <cfRule type="cellIs" dxfId="46" priority="252" operator="equal">
      <formula>1</formula>
    </cfRule>
  </conditionalFormatting>
  <conditionalFormatting sqref="J21">
    <cfRule type="cellIs" dxfId="45" priority="251" operator="equal">
      <formula>1</formula>
    </cfRule>
  </conditionalFormatting>
  <conditionalFormatting sqref="Q21">
    <cfRule type="cellIs" dxfId="44" priority="250" operator="equal">
      <formula>1</formula>
    </cfRule>
  </conditionalFormatting>
  <conditionalFormatting sqref="R21">
    <cfRule type="cellIs" dxfId="43" priority="249" operator="equal">
      <formula>1</formula>
    </cfRule>
  </conditionalFormatting>
  <conditionalFormatting sqref="S21">
    <cfRule type="cellIs" dxfId="42" priority="248" operator="equal">
      <formula>1</formula>
    </cfRule>
  </conditionalFormatting>
  <conditionalFormatting sqref="T21">
    <cfRule type="cellIs" dxfId="41" priority="247" operator="equal">
      <formula>1</formula>
    </cfRule>
  </conditionalFormatting>
  <conditionalFormatting sqref="U21">
    <cfRule type="cellIs" dxfId="40" priority="246" operator="equal">
      <formula>1</formula>
    </cfRule>
  </conditionalFormatting>
  <conditionalFormatting sqref="Q23">
    <cfRule type="cellIs" dxfId="39" priority="245" operator="equal">
      <formula>1</formula>
    </cfRule>
  </conditionalFormatting>
  <conditionalFormatting sqref="R23">
    <cfRule type="cellIs" dxfId="38" priority="244" operator="equal">
      <formula>1</formula>
    </cfRule>
  </conditionalFormatting>
  <conditionalFormatting sqref="S23">
    <cfRule type="cellIs" dxfId="37" priority="243" operator="equal">
      <formula>1</formula>
    </cfRule>
  </conditionalFormatting>
  <conditionalFormatting sqref="T23">
    <cfRule type="cellIs" dxfId="36" priority="242" operator="equal">
      <formula>1</formula>
    </cfRule>
  </conditionalFormatting>
  <conditionalFormatting sqref="U23">
    <cfRule type="cellIs" dxfId="35" priority="241" operator="equal">
      <formula>1</formula>
    </cfRule>
  </conditionalFormatting>
  <conditionalFormatting sqref="Q25">
    <cfRule type="cellIs" dxfId="34" priority="240" operator="equal">
      <formula>1</formula>
    </cfRule>
  </conditionalFormatting>
  <conditionalFormatting sqref="R25">
    <cfRule type="cellIs" dxfId="33" priority="239" operator="equal">
      <formula>1</formula>
    </cfRule>
  </conditionalFormatting>
  <conditionalFormatting sqref="S25">
    <cfRule type="cellIs" dxfId="32" priority="238" operator="equal">
      <formula>1</formula>
    </cfRule>
  </conditionalFormatting>
  <conditionalFormatting sqref="T25">
    <cfRule type="cellIs" dxfId="31" priority="237" operator="equal">
      <formula>1</formula>
    </cfRule>
  </conditionalFormatting>
  <conditionalFormatting sqref="U25">
    <cfRule type="cellIs" dxfId="30" priority="236" operator="equal">
      <formula>1</formula>
    </cfRule>
  </conditionalFormatting>
  <conditionalFormatting sqref="Q27">
    <cfRule type="cellIs" dxfId="29" priority="235" operator="equal">
      <formula>1</formula>
    </cfRule>
  </conditionalFormatting>
  <conditionalFormatting sqref="R27">
    <cfRule type="cellIs" dxfId="28" priority="234" operator="equal">
      <formula>1</formula>
    </cfRule>
  </conditionalFormatting>
  <conditionalFormatting sqref="S27">
    <cfRule type="cellIs" dxfId="27" priority="233" operator="equal">
      <formula>1</formula>
    </cfRule>
  </conditionalFormatting>
  <conditionalFormatting sqref="T27">
    <cfRule type="cellIs" dxfId="26" priority="232" operator="equal">
      <formula>1</formula>
    </cfRule>
  </conditionalFormatting>
  <conditionalFormatting sqref="U27">
    <cfRule type="cellIs" dxfId="25" priority="231" operator="equal">
      <formula>1</formula>
    </cfRule>
  </conditionalFormatting>
  <conditionalFormatting sqref="Q29">
    <cfRule type="cellIs" dxfId="24" priority="230" operator="equal">
      <formula>1</formula>
    </cfRule>
  </conditionalFormatting>
  <conditionalFormatting sqref="R29">
    <cfRule type="cellIs" dxfId="23" priority="229" operator="equal">
      <formula>1</formula>
    </cfRule>
  </conditionalFormatting>
  <conditionalFormatting sqref="S29">
    <cfRule type="cellIs" dxfId="22" priority="228" operator="equal">
      <formula>1</formula>
    </cfRule>
  </conditionalFormatting>
  <conditionalFormatting sqref="T29">
    <cfRule type="cellIs" dxfId="21" priority="227" operator="equal">
      <formula>1</formula>
    </cfRule>
  </conditionalFormatting>
  <conditionalFormatting sqref="U29">
    <cfRule type="cellIs" dxfId="20" priority="226" operator="equal">
      <formula>1</formula>
    </cfRule>
  </conditionalFormatting>
  <conditionalFormatting sqref="Q31">
    <cfRule type="cellIs" dxfId="19" priority="225" operator="equal">
      <formula>1</formula>
    </cfRule>
  </conditionalFormatting>
  <conditionalFormatting sqref="R31">
    <cfRule type="cellIs" dxfId="18" priority="224" operator="equal">
      <formula>1</formula>
    </cfRule>
  </conditionalFormatting>
  <conditionalFormatting sqref="S31">
    <cfRule type="cellIs" dxfId="17" priority="223" operator="equal">
      <formula>1</formula>
    </cfRule>
  </conditionalFormatting>
  <conditionalFormatting sqref="T31">
    <cfRule type="cellIs" dxfId="16" priority="222" operator="equal">
      <formula>1</formula>
    </cfRule>
  </conditionalFormatting>
  <conditionalFormatting sqref="U31">
    <cfRule type="cellIs" dxfId="15" priority="221" operator="equal">
      <formula>1</formula>
    </cfRule>
  </conditionalFormatting>
  <conditionalFormatting sqref="Q33">
    <cfRule type="cellIs" dxfId="14" priority="220" operator="equal">
      <formula>1</formula>
    </cfRule>
  </conditionalFormatting>
  <conditionalFormatting sqref="R33">
    <cfRule type="cellIs" dxfId="13" priority="219" operator="equal">
      <formula>1</formula>
    </cfRule>
  </conditionalFormatting>
  <conditionalFormatting sqref="S33">
    <cfRule type="cellIs" dxfId="12" priority="218" operator="equal">
      <formula>1</formula>
    </cfRule>
  </conditionalFormatting>
  <conditionalFormatting sqref="T33">
    <cfRule type="cellIs" dxfId="11" priority="217" operator="equal">
      <formula>1</formula>
    </cfRule>
  </conditionalFormatting>
  <conditionalFormatting sqref="U33">
    <cfRule type="cellIs" dxfId="10" priority="216" operator="equal">
      <formula>1</formula>
    </cfRule>
  </conditionalFormatting>
  <conditionalFormatting sqref="Q35">
    <cfRule type="cellIs" dxfId="9" priority="215" operator="equal">
      <formula>1</formula>
    </cfRule>
  </conditionalFormatting>
  <conditionalFormatting sqref="R35">
    <cfRule type="cellIs" dxfId="8" priority="214" operator="equal">
      <formula>1</formula>
    </cfRule>
  </conditionalFormatting>
  <conditionalFormatting sqref="S35">
    <cfRule type="cellIs" dxfId="7" priority="213" operator="equal">
      <formula>1</formula>
    </cfRule>
  </conditionalFormatting>
  <conditionalFormatting sqref="T35">
    <cfRule type="cellIs" dxfId="6" priority="212" operator="equal">
      <formula>1</formula>
    </cfRule>
  </conditionalFormatting>
  <conditionalFormatting sqref="U35">
    <cfRule type="cellIs" dxfId="5" priority="211" operator="equal">
      <formula>1</formula>
    </cfRule>
  </conditionalFormatting>
  <conditionalFormatting sqref="C43">
    <cfRule type="cellIs" dxfId="4" priority="210" operator="equal">
      <formula>0</formula>
    </cfRule>
  </conditionalFormatting>
  <conditionalFormatting sqref="Z56:XFD57 A57:B57 A56:Y56">
    <cfRule type="cellIs" dxfId="3" priority="209" operator="equal">
      <formula>0</formula>
    </cfRule>
  </conditionalFormatting>
  <conditionalFormatting sqref="Z90:XFD90">
    <cfRule type="cellIs" dxfId="2" priority="3" operator="equal">
      <formula>0</formula>
    </cfRule>
  </conditionalFormatting>
  <conditionalFormatting sqref="B62:B98">
    <cfRule type="cellIs" dxfId="1" priority="1" operator="equal">
      <formula>"Sorcery"</formula>
    </cfRule>
    <cfRule type="cellIs" dxfId="0" priority="2" operator="equal">
      <formula>"Styles"</formula>
    </cfRule>
  </conditionalFormatting>
  <printOptions gridLines="1"/>
  <pageMargins left="0.7" right="0.7" top="0.75" bottom="0.75" header="0.3" footer="0.3"/>
  <pageSetup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workbookViewId="0">
      <selection activeCell="N20" sqref="N20"/>
    </sheetView>
    <sheetView workbookViewId="1"/>
    <sheetView workbookViewId="2"/>
  </sheetViews>
  <sheetFormatPr defaultRowHeight="15" x14ac:dyDescent="0.25"/>
  <cols>
    <col min="6" max="6" width="9.140625" style="246"/>
    <col min="16" max="16" width="9.140625" style="169"/>
    <col min="19" max="19" width="9.140625" style="163"/>
    <col min="23" max="23" width="9.140625" style="25"/>
  </cols>
  <sheetData>
    <row r="1" spans="1:24" x14ac:dyDescent="0.25">
      <c r="B1" t="s">
        <v>828</v>
      </c>
      <c r="C1" t="s">
        <v>194</v>
      </c>
      <c r="D1" t="s">
        <v>160</v>
      </c>
      <c r="E1" t="s">
        <v>133</v>
      </c>
      <c r="F1" t="s">
        <v>1851</v>
      </c>
      <c r="G1" t="s">
        <v>186</v>
      </c>
    </row>
    <row r="2" spans="1:24" x14ac:dyDescent="0.25">
      <c r="A2">
        <v>1</v>
      </c>
      <c r="B2" s="43" t="e">
        <f>builder!B60</f>
        <v>#N/A</v>
      </c>
      <c r="C2" t="e">
        <f>IF($B2=C$1,COUNTIF($B$2:$B$23,C$1),0)</f>
        <v>#N/A</v>
      </c>
      <c r="D2" s="61" t="e">
        <f t="shared" ref="D2:G2" si="0">IF($B2=D$1,COUNTIF($B$2:$B$23,D$1),0)</f>
        <v>#N/A</v>
      </c>
      <c r="E2" s="61" t="e">
        <f t="shared" si="0"/>
        <v>#N/A</v>
      </c>
      <c r="F2" s="246" t="e">
        <f t="shared" si="0"/>
        <v>#N/A</v>
      </c>
      <c r="G2" s="61" t="e">
        <f t="shared" si="0"/>
        <v>#N/A</v>
      </c>
      <c r="H2" s="56" t="e">
        <f>SUM(C2:G2)</f>
        <v>#N/A</v>
      </c>
      <c r="I2" s="131" t="e">
        <f>IF(COUNTIF($C$1:$G$1,B2)&gt;0,"",B2)</f>
        <v>#N/A</v>
      </c>
      <c r="L2" t="e">
        <f>IF(I2&lt;&gt;"",A2,"")</f>
        <v>#N/A</v>
      </c>
      <c r="M2" t="e">
        <f t="shared" ref="M2:M28" si="1">SMALL($L$2:$L$28,A2)</f>
        <v>#N/A</v>
      </c>
      <c r="N2" t="str">
        <f t="shared" ref="N2:N28" si="2">IF(ISERROR(M2),"",VLOOKUP(M2,$A$2:$B$28,2))</f>
        <v/>
      </c>
      <c r="Q2" s="164">
        <v>1</v>
      </c>
      <c r="R2" s="4" t="str">
        <f>N2</f>
        <v/>
      </c>
      <c r="S2" s="4" t="str">
        <f>print!B54</f>
        <v/>
      </c>
      <c r="T2" s="4" t="str">
        <f t="shared" ref="T2:T33" si="3">IF(R2&lt;&gt;"",Q2,"")</f>
        <v/>
      </c>
      <c r="U2" s="4">
        <f>SMALL($T$2:$T$56,Q2)</f>
        <v>27</v>
      </c>
      <c r="V2" s="4" t="str">
        <f>IF(ISERROR(U2),"",VLOOKUP(U2,$Q$2:$R$56,2))</f>
        <v>Styles</v>
      </c>
      <c r="W2" s="165" t="str">
        <f>IF(ISERROR(U2),"",VLOOKUP(U2,$Q$2:$S$56,3))</f>
        <v/>
      </c>
      <c r="X2" s="181" t="s">
        <v>101</v>
      </c>
    </row>
    <row r="3" spans="1:24" x14ac:dyDescent="0.25">
      <c r="A3">
        <v>2</v>
      </c>
      <c r="B3" s="44" t="e">
        <f>builder!B61</f>
        <v>#N/A</v>
      </c>
      <c r="C3" s="24" t="e">
        <f>IF(AND($B3=C$1,C2&lt;1),COUNTIF($B$2:$B$23,C$1),0)</f>
        <v>#N/A</v>
      </c>
      <c r="D3" s="61" t="e">
        <f t="shared" ref="D3:G3" si="4">IF(AND($B3=D$1,D2&lt;1),COUNTIF($B$2:$B$23,D$1),0)</f>
        <v>#N/A</v>
      </c>
      <c r="E3" s="61" t="e">
        <f t="shared" si="4"/>
        <v>#N/A</v>
      </c>
      <c r="F3" s="246" t="e">
        <f t="shared" ref="F3" si="5">IF(AND($B3=F$1,F2&lt;1),COUNTIF($B$2:$B$23,F$1),0)</f>
        <v>#N/A</v>
      </c>
      <c r="G3" s="61" t="e">
        <f t="shared" si="4"/>
        <v>#N/A</v>
      </c>
      <c r="H3" s="60" t="e">
        <f t="shared" ref="H3:H24" si="6">SUM(C3:G3)</f>
        <v>#N/A</v>
      </c>
      <c r="I3" s="131" t="e">
        <f t="shared" ref="I3:I23" si="7">IF(COUNTIF($C$1:$G$1,B3)&gt;0,"",B3)</f>
        <v>#N/A</v>
      </c>
      <c r="L3" s="61" t="e">
        <f t="shared" ref="L3:L23" si="8">IF(I3&lt;&gt;"",A3,"")</f>
        <v>#N/A</v>
      </c>
      <c r="M3" s="24" t="e">
        <f t="shared" si="1"/>
        <v>#N/A</v>
      </c>
      <c r="N3" s="61" t="str">
        <f t="shared" si="2"/>
        <v/>
      </c>
      <c r="Q3" s="6">
        <f>Q2+1</f>
        <v>2</v>
      </c>
      <c r="R3" s="25" t="str">
        <f t="shared" ref="R3:R27" si="9">N3</f>
        <v/>
      </c>
      <c r="S3" s="25" t="str">
        <f>print!B57</f>
        <v/>
      </c>
      <c r="T3" s="25" t="str">
        <f t="shared" si="3"/>
        <v/>
      </c>
      <c r="U3" s="25">
        <f t="shared" ref="U3:U56" si="10">SMALL($T$2:$T$56,Q3)</f>
        <v>34</v>
      </c>
      <c r="V3" s="25" t="str">
        <f t="shared" ref="V3:V56" si="11">IF(ISERROR(U3),"",VLOOKUP(U3,$Q$2:$R$56,2))</f>
        <v>Sorcery</v>
      </c>
      <c r="W3" s="8" t="str">
        <f t="shared" ref="W3:W56" si="12">IF(ISERROR(U3),"",VLOOKUP(U3,$Q$2:$S$56,3))</f>
        <v/>
      </c>
      <c r="X3" s="181" t="s">
        <v>101</v>
      </c>
    </row>
    <row r="4" spans="1:24" x14ac:dyDescent="0.25">
      <c r="A4">
        <v>3</v>
      </c>
      <c r="B4" s="44" t="e">
        <f>builder!B62</f>
        <v>#N/A</v>
      </c>
      <c r="C4" s="24" t="e">
        <f>IF(AND($B4=C$1,SUM(C2:C3)&lt;1),COUNTIF($B$2:$B$23,C$1),0)</f>
        <v>#N/A</v>
      </c>
      <c r="D4" s="61" t="e">
        <f t="shared" ref="D4:G4" si="13">IF(AND($B4=D$1,SUM(D2:D3)&lt;1),COUNTIF($B$2:$B$23,D$1),0)</f>
        <v>#N/A</v>
      </c>
      <c r="E4" s="61" t="e">
        <f t="shared" si="13"/>
        <v>#N/A</v>
      </c>
      <c r="F4" s="246" t="e">
        <f t="shared" ref="F4" si="14">IF(AND($B4=F$1,SUM(F2:F3)&lt;1),COUNTIF($B$2:$B$23,F$1),0)</f>
        <v>#N/A</v>
      </c>
      <c r="G4" s="61" t="e">
        <f t="shared" si="13"/>
        <v>#N/A</v>
      </c>
      <c r="H4" s="60" t="e">
        <f t="shared" si="6"/>
        <v>#N/A</v>
      </c>
      <c r="I4" s="131" t="e">
        <f t="shared" si="7"/>
        <v>#N/A</v>
      </c>
      <c r="L4" s="61" t="e">
        <f t="shared" si="8"/>
        <v>#N/A</v>
      </c>
      <c r="M4" s="24" t="e">
        <f t="shared" si="1"/>
        <v>#N/A</v>
      </c>
      <c r="N4" s="61" t="str">
        <f t="shared" si="2"/>
        <v/>
      </c>
      <c r="Q4" s="6">
        <f t="shared" ref="Q4:Q56" si="15">Q3+1</f>
        <v>3</v>
      </c>
      <c r="R4" s="25" t="str">
        <f t="shared" si="9"/>
        <v/>
      </c>
      <c r="S4" s="25" t="str">
        <f>print!B60</f>
        <v/>
      </c>
      <c r="T4" s="25" t="str">
        <f t="shared" si="3"/>
        <v/>
      </c>
      <c r="U4" s="25" t="e">
        <f t="shared" si="10"/>
        <v>#NUM!</v>
      </c>
      <c r="V4" s="25" t="str">
        <f t="shared" si="11"/>
        <v/>
      </c>
      <c r="W4" s="8" t="str">
        <f t="shared" si="12"/>
        <v/>
      </c>
      <c r="X4" s="181" t="s">
        <v>101</v>
      </c>
    </row>
    <row r="5" spans="1:24" x14ac:dyDescent="0.25">
      <c r="A5">
        <v>4</v>
      </c>
      <c r="B5" s="44" t="e">
        <f>builder!B63</f>
        <v>#N/A</v>
      </c>
      <c r="C5" s="61" t="e">
        <f>IF(AND($B5=C$1,SUM(C2:C4)&lt;1),COUNTIF($B$2:$B$23,C$1),0)</f>
        <v>#N/A</v>
      </c>
      <c r="D5" s="61" t="e">
        <f t="shared" ref="D5:G5" si="16">IF(AND($B5=D$1,SUM(D2:D4)&lt;1),COUNTIF($B$2:$B$23,D$1),0)</f>
        <v>#N/A</v>
      </c>
      <c r="E5" s="61" t="e">
        <f t="shared" si="16"/>
        <v>#N/A</v>
      </c>
      <c r="F5" s="246" t="e">
        <f t="shared" ref="F5" si="17">IF(AND($B5=F$1,SUM(F2:F4)&lt;1),COUNTIF($B$2:$B$23,F$1),0)</f>
        <v>#N/A</v>
      </c>
      <c r="G5" s="61" t="e">
        <f t="shared" si="16"/>
        <v>#N/A</v>
      </c>
      <c r="H5" s="60" t="e">
        <f t="shared" si="6"/>
        <v>#N/A</v>
      </c>
      <c r="I5" s="131" t="e">
        <f t="shared" si="7"/>
        <v>#N/A</v>
      </c>
      <c r="L5" s="61" t="e">
        <f t="shared" si="8"/>
        <v>#N/A</v>
      </c>
      <c r="M5" s="24" t="e">
        <f t="shared" si="1"/>
        <v>#N/A</v>
      </c>
      <c r="N5" s="61" t="str">
        <f t="shared" si="2"/>
        <v/>
      </c>
      <c r="Q5" s="6">
        <f t="shared" si="15"/>
        <v>4</v>
      </c>
      <c r="R5" s="25" t="str">
        <f t="shared" si="9"/>
        <v/>
      </c>
      <c r="S5" s="25" t="str">
        <f>print!B63</f>
        <v/>
      </c>
      <c r="T5" s="25" t="str">
        <f t="shared" si="3"/>
        <v/>
      </c>
      <c r="U5" s="25" t="e">
        <f t="shared" si="10"/>
        <v>#NUM!</v>
      </c>
      <c r="V5" s="25" t="str">
        <f t="shared" si="11"/>
        <v/>
      </c>
      <c r="W5" s="8" t="str">
        <f t="shared" si="12"/>
        <v/>
      </c>
      <c r="X5" s="181" t="s">
        <v>101</v>
      </c>
    </row>
    <row r="6" spans="1:24" x14ac:dyDescent="0.25">
      <c r="A6">
        <v>5</v>
      </c>
      <c r="B6" s="44" t="e">
        <f>builder!B64</f>
        <v>#N/A</v>
      </c>
      <c r="C6" s="61" t="e">
        <f>IF(AND($B6=C$1,SUM(C2:C5)&lt;1),COUNTIF($B$2:$B$23,C$1),0)</f>
        <v>#N/A</v>
      </c>
      <c r="D6" s="61" t="e">
        <f t="shared" ref="D6:G6" si="18">IF(AND($B6=D$1,SUM(D2:D5)&lt;1),COUNTIF($B$2:$B$23,D$1),0)</f>
        <v>#N/A</v>
      </c>
      <c r="E6" s="61" t="e">
        <f t="shared" si="18"/>
        <v>#N/A</v>
      </c>
      <c r="F6" s="246" t="e">
        <f t="shared" ref="F6" si="19">IF(AND($B6=F$1,SUM(F2:F5)&lt;1),COUNTIF($B$2:$B$23,F$1),0)</f>
        <v>#N/A</v>
      </c>
      <c r="G6" s="61" t="e">
        <f t="shared" si="18"/>
        <v>#N/A</v>
      </c>
      <c r="H6" s="60" t="e">
        <f t="shared" si="6"/>
        <v>#N/A</v>
      </c>
      <c r="I6" s="131" t="e">
        <f t="shared" si="7"/>
        <v>#N/A</v>
      </c>
      <c r="L6" s="61" t="e">
        <f t="shared" si="8"/>
        <v>#N/A</v>
      </c>
      <c r="M6" s="24" t="e">
        <f t="shared" si="1"/>
        <v>#N/A</v>
      </c>
      <c r="N6" s="61" t="str">
        <f t="shared" si="2"/>
        <v/>
      </c>
      <c r="Q6" s="6">
        <f t="shared" si="15"/>
        <v>5</v>
      </c>
      <c r="R6" s="25" t="str">
        <f t="shared" si="9"/>
        <v/>
      </c>
      <c r="S6" s="25" t="str">
        <f>print!B66</f>
        <v/>
      </c>
      <c r="T6" s="25" t="str">
        <f>IF(R6&lt;&gt;"",Q6,"")</f>
        <v/>
      </c>
      <c r="U6" s="25" t="e">
        <f>SMALL($T$2:$T$56,Q6)</f>
        <v>#NUM!</v>
      </c>
      <c r="V6" s="25" t="str">
        <f t="shared" si="11"/>
        <v/>
      </c>
      <c r="W6" s="8" t="str">
        <f>IF(ISERROR(U6),"",VLOOKUP(U6,$Q$2:$S$56,3))</f>
        <v/>
      </c>
      <c r="X6" s="181" t="s">
        <v>101</v>
      </c>
    </row>
    <row r="7" spans="1:24" x14ac:dyDescent="0.25">
      <c r="A7">
        <v>6</v>
      </c>
      <c r="B7" s="44" t="e">
        <f>builder!B65</f>
        <v>#N/A</v>
      </c>
      <c r="C7" s="61" t="e">
        <f>IF(AND($B7=C$1,SUM(C2:C6)&lt;1),COUNTIF($B$2:$B$23,C$1),0)</f>
        <v>#N/A</v>
      </c>
      <c r="D7" s="61" t="e">
        <f t="shared" ref="D7:G7" si="20">IF(AND($B7=D$1,SUM(D2:D6)&lt;1),COUNTIF($B$2:$B$23,D$1),0)</f>
        <v>#N/A</v>
      </c>
      <c r="E7" s="61" t="e">
        <f t="shared" si="20"/>
        <v>#N/A</v>
      </c>
      <c r="F7" s="246" t="e">
        <f t="shared" ref="F7" si="21">IF(AND($B7=F$1,SUM(F2:F6)&lt;1),COUNTIF($B$2:$B$23,F$1),0)</f>
        <v>#N/A</v>
      </c>
      <c r="G7" s="61" t="e">
        <f t="shared" si="20"/>
        <v>#N/A</v>
      </c>
      <c r="H7" s="60" t="e">
        <f t="shared" si="6"/>
        <v>#N/A</v>
      </c>
      <c r="I7" s="131" t="e">
        <f t="shared" si="7"/>
        <v>#N/A</v>
      </c>
      <c r="K7" s="24"/>
      <c r="L7" s="61" t="e">
        <f t="shared" si="8"/>
        <v>#N/A</v>
      </c>
      <c r="M7" s="24" t="e">
        <f t="shared" si="1"/>
        <v>#N/A</v>
      </c>
      <c r="N7" s="61" t="str">
        <f t="shared" si="2"/>
        <v/>
      </c>
      <c r="Q7" s="6">
        <f t="shared" si="15"/>
        <v>6</v>
      </c>
      <c r="R7" s="25" t="str">
        <f t="shared" si="9"/>
        <v/>
      </c>
      <c r="S7" s="25" t="str">
        <f>print!B69</f>
        <v/>
      </c>
      <c r="T7" s="25" t="str">
        <f t="shared" si="3"/>
        <v/>
      </c>
      <c r="U7" s="25" t="e">
        <f t="shared" si="10"/>
        <v>#NUM!</v>
      </c>
      <c r="V7" s="25" t="str">
        <f t="shared" si="11"/>
        <v/>
      </c>
      <c r="W7" s="8" t="str">
        <f t="shared" si="12"/>
        <v/>
      </c>
      <c r="X7" s="181" t="s">
        <v>101</v>
      </c>
    </row>
    <row r="8" spans="1:24" x14ac:dyDescent="0.25">
      <c r="A8">
        <v>7</v>
      </c>
      <c r="B8" s="45" t="str">
        <f>IF(builder!B67&lt;&gt;"",builder!B67,"")</f>
        <v/>
      </c>
      <c r="C8" s="61" t="e">
        <f>IF(AND($B8=C$1,SUM(C2:C7)&lt;1),COUNTIF($B$2:$B$23,C$1),0)</f>
        <v>#N/A</v>
      </c>
      <c r="D8" s="61" t="e">
        <f t="shared" ref="D8:G8" si="22">IF(AND($B8=D$1,SUM(D2:D7)&lt;1),COUNTIF($B$2:$B$23,D$1),0)</f>
        <v>#N/A</v>
      </c>
      <c r="E8" s="61" t="e">
        <f t="shared" si="22"/>
        <v>#N/A</v>
      </c>
      <c r="F8" s="246" t="e">
        <f t="shared" ref="F8" si="23">IF(AND($B8=F$1,SUM(F2:F7)&lt;1),COUNTIF($B$2:$B$23,F$1),0)</f>
        <v>#N/A</v>
      </c>
      <c r="G8" s="61" t="e">
        <f t="shared" si="22"/>
        <v>#N/A</v>
      </c>
      <c r="H8" s="60" t="e">
        <f t="shared" si="6"/>
        <v>#N/A</v>
      </c>
      <c r="I8" s="131" t="str">
        <f t="shared" si="7"/>
        <v/>
      </c>
      <c r="K8" s="24"/>
      <c r="L8" s="61" t="str">
        <f t="shared" si="8"/>
        <v/>
      </c>
      <c r="M8" s="24" t="e">
        <f t="shared" si="1"/>
        <v>#N/A</v>
      </c>
      <c r="N8" s="61" t="str">
        <f t="shared" si="2"/>
        <v/>
      </c>
      <c r="Q8" s="6">
        <f t="shared" si="15"/>
        <v>7</v>
      </c>
      <c r="R8" s="25" t="str">
        <f t="shared" si="9"/>
        <v/>
      </c>
      <c r="S8" s="25" t="str">
        <f>print!B72</f>
        <v/>
      </c>
      <c r="T8" s="25" t="str">
        <f t="shared" si="3"/>
        <v/>
      </c>
      <c r="U8" s="25" t="e">
        <f t="shared" si="10"/>
        <v>#NUM!</v>
      </c>
      <c r="V8" s="25" t="str">
        <f t="shared" si="11"/>
        <v/>
      </c>
      <c r="W8" s="8" t="str">
        <f t="shared" si="12"/>
        <v/>
      </c>
      <c r="X8" s="181" t="s">
        <v>101</v>
      </c>
    </row>
    <row r="9" spans="1:24" x14ac:dyDescent="0.25">
      <c r="A9">
        <v>8</v>
      </c>
      <c r="B9" s="45" t="str">
        <f>IF(builder!B68&lt;&gt;"",builder!B68,"")</f>
        <v/>
      </c>
      <c r="C9" s="61" t="e">
        <f>IF(AND($B9=C$1,SUM(C2:C8)&lt;1),COUNTIF($B$2:$B$23,C$1),0)</f>
        <v>#N/A</v>
      </c>
      <c r="D9" s="61" t="e">
        <f t="shared" ref="D9:G9" si="24">IF(AND($B9=D$1,SUM(D2:D8)&lt;1),COUNTIF($B$2:$B$23,D$1),0)</f>
        <v>#N/A</v>
      </c>
      <c r="E9" s="61" t="e">
        <f t="shared" si="24"/>
        <v>#N/A</v>
      </c>
      <c r="F9" s="246" t="e">
        <f t="shared" ref="F9" si="25">IF(AND($B9=F$1,SUM(F2:F8)&lt;1),COUNTIF($B$2:$B$23,F$1),0)</f>
        <v>#N/A</v>
      </c>
      <c r="G9" s="61" t="e">
        <f t="shared" si="24"/>
        <v>#N/A</v>
      </c>
      <c r="H9" s="60" t="e">
        <f t="shared" si="6"/>
        <v>#N/A</v>
      </c>
      <c r="I9" s="131" t="str">
        <f t="shared" si="7"/>
        <v/>
      </c>
      <c r="K9" s="24"/>
      <c r="L9" s="61" t="str">
        <f t="shared" si="8"/>
        <v/>
      </c>
      <c r="M9" s="24" t="e">
        <f t="shared" si="1"/>
        <v>#N/A</v>
      </c>
      <c r="N9" s="61" t="str">
        <f t="shared" si="2"/>
        <v/>
      </c>
      <c r="Q9" s="6">
        <f t="shared" si="15"/>
        <v>8</v>
      </c>
      <c r="R9" s="25" t="str">
        <f t="shared" si="9"/>
        <v/>
      </c>
      <c r="S9" s="25" t="str">
        <f>print!B77</f>
        <v/>
      </c>
      <c r="T9" s="25" t="str">
        <f t="shared" si="3"/>
        <v/>
      </c>
      <c r="U9" s="25" t="e">
        <f t="shared" si="10"/>
        <v>#NUM!</v>
      </c>
      <c r="V9" s="25" t="str">
        <f t="shared" si="11"/>
        <v/>
      </c>
      <c r="W9" s="8" t="str">
        <f t="shared" si="12"/>
        <v/>
      </c>
      <c r="X9" s="181" t="s">
        <v>101</v>
      </c>
    </row>
    <row r="10" spans="1:24" x14ac:dyDescent="0.25">
      <c r="A10">
        <v>9</v>
      </c>
      <c r="B10" s="45" t="str">
        <f>IF(builder!B69&lt;&gt;"",builder!B69,"")</f>
        <v/>
      </c>
      <c r="C10" s="61" t="e">
        <f>IF(AND($B10=C$1,SUM(C2:C9)&lt;1),COUNTIF($B$2:$B$23,C$1),0)</f>
        <v>#N/A</v>
      </c>
      <c r="D10" s="61" t="e">
        <f t="shared" ref="D10:G10" si="26">IF(AND($B10=D$1,SUM(D2:D9)&lt;1),COUNTIF($B$2:$B$23,D$1),0)</f>
        <v>#N/A</v>
      </c>
      <c r="E10" s="61" t="e">
        <f t="shared" si="26"/>
        <v>#N/A</v>
      </c>
      <c r="F10" s="246" t="e">
        <f t="shared" ref="F10" si="27">IF(AND($B10=F$1,SUM(F2:F9)&lt;1),COUNTIF($B$2:$B$23,F$1),0)</f>
        <v>#N/A</v>
      </c>
      <c r="G10" s="61" t="e">
        <f t="shared" si="26"/>
        <v>#N/A</v>
      </c>
      <c r="H10" s="60" t="e">
        <f t="shared" si="6"/>
        <v>#N/A</v>
      </c>
      <c r="I10" s="131" t="str">
        <f t="shared" si="7"/>
        <v/>
      </c>
      <c r="K10" s="24"/>
      <c r="L10" s="61" t="str">
        <f t="shared" si="8"/>
        <v/>
      </c>
      <c r="M10" s="24" t="e">
        <f t="shared" si="1"/>
        <v>#N/A</v>
      </c>
      <c r="N10" s="61" t="str">
        <f t="shared" si="2"/>
        <v/>
      </c>
      <c r="Q10" s="6">
        <f t="shared" si="15"/>
        <v>9</v>
      </c>
      <c r="R10" s="25" t="str">
        <f t="shared" si="9"/>
        <v/>
      </c>
      <c r="S10" s="25" t="str">
        <f>print!B80</f>
        <v/>
      </c>
      <c r="T10" s="25" t="str">
        <f t="shared" si="3"/>
        <v/>
      </c>
      <c r="U10" s="25" t="e">
        <f t="shared" si="10"/>
        <v>#NUM!</v>
      </c>
      <c r="V10" s="25" t="str">
        <f t="shared" si="11"/>
        <v/>
      </c>
      <c r="W10" s="8" t="str">
        <f t="shared" si="12"/>
        <v/>
      </c>
      <c r="X10" s="181" t="s">
        <v>101</v>
      </c>
    </row>
    <row r="11" spans="1:24" x14ac:dyDescent="0.25">
      <c r="A11">
        <v>10</v>
      </c>
      <c r="B11" s="45" t="str">
        <f>IF(builder!B70&lt;&gt;"",builder!B70,"")</f>
        <v/>
      </c>
      <c r="C11" s="61" t="e">
        <f>IF(AND($B11=C$1,SUM(C2:C10)&lt;1),COUNTIF($B$2:$B$23,C$1),0)</f>
        <v>#N/A</v>
      </c>
      <c r="D11" s="61" t="e">
        <f t="shared" ref="D11:G11" si="28">IF(AND($B11=D$1,SUM(D2:D10)&lt;1),COUNTIF($B$2:$B$23,D$1),0)</f>
        <v>#N/A</v>
      </c>
      <c r="E11" s="61" t="e">
        <f t="shared" si="28"/>
        <v>#N/A</v>
      </c>
      <c r="F11" s="246" t="e">
        <f t="shared" ref="F11" si="29">IF(AND($B11=F$1,SUM(F2:F10)&lt;1),COUNTIF($B$2:$B$23,F$1),0)</f>
        <v>#N/A</v>
      </c>
      <c r="G11" s="61" t="e">
        <f t="shared" si="28"/>
        <v>#N/A</v>
      </c>
      <c r="H11" s="60" t="e">
        <f t="shared" si="6"/>
        <v>#N/A</v>
      </c>
      <c r="I11" s="131" t="str">
        <f t="shared" si="7"/>
        <v/>
      </c>
      <c r="K11" s="24"/>
      <c r="L11" s="61" t="str">
        <f t="shared" si="8"/>
        <v/>
      </c>
      <c r="M11" s="24" t="e">
        <f t="shared" si="1"/>
        <v>#N/A</v>
      </c>
      <c r="N11" s="61" t="str">
        <f t="shared" si="2"/>
        <v/>
      </c>
      <c r="Q11" s="6">
        <f t="shared" si="15"/>
        <v>10</v>
      </c>
      <c r="R11" s="25" t="str">
        <f t="shared" si="9"/>
        <v/>
      </c>
      <c r="S11" s="25" t="str">
        <f>print!B83</f>
        <v/>
      </c>
      <c r="T11" s="25" t="str">
        <f t="shared" si="3"/>
        <v/>
      </c>
      <c r="U11" s="25" t="e">
        <f t="shared" si="10"/>
        <v>#NUM!</v>
      </c>
      <c r="V11" s="25" t="str">
        <f t="shared" si="11"/>
        <v/>
      </c>
      <c r="W11" s="8" t="str">
        <f t="shared" si="12"/>
        <v/>
      </c>
      <c r="X11" s="181" t="s">
        <v>101</v>
      </c>
    </row>
    <row r="12" spans="1:24" x14ac:dyDescent="0.25">
      <c r="A12">
        <v>11</v>
      </c>
      <c r="B12" s="45" t="str">
        <f>IF(builder!B71&lt;&gt;"",builder!B71,"")</f>
        <v/>
      </c>
      <c r="C12" s="61" t="e">
        <f>IF(AND($B12=C$1,SUM(C2:C11)&lt;1),COUNTIF($B$2:$B$23,C$1),0)</f>
        <v>#N/A</v>
      </c>
      <c r="D12" s="61" t="e">
        <f t="shared" ref="D12:G12" si="30">IF(AND($B12=D$1,SUM(D2:D11)&lt;1),COUNTIF($B$2:$B$23,D$1),0)</f>
        <v>#N/A</v>
      </c>
      <c r="E12" s="61" t="e">
        <f t="shared" si="30"/>
        <v>#N/A</v>
      </c>
      <c r="F12" s="246" t="e">
        <f t="shared" ref="F12" si="31">IF(AND($B12=F$1,SUM(F2:F11)&lt;1),COUNTIF($B$2:$B$23,F$1),0)</f>
        <v>#N/A</v>
      </c>
      <c r="G12" s="61" t="e">
        <f t="shared" si="30"/>
        <v>#N/A</v>
      </c>
      <c r="H12" s="60" t="e">
        <f t="shared" si="6"/>
        <v>#N/A</v>
      </c>
      <c r="I12" s="131" t="str">
        <f t="shared" si="7"/>
        <v/>
      </c>
      <c r="K12" s="24"/>
      <c r="L12" s="61" t="str">
        <f t="shared" si="8"/>
        <v/>
      </c>
      <c r="M12" s="24" t="e">
        <f t="shared" si="1"/>
        <v>#N/A</v>
      </c>
      <c r="N12" s="61" t="str">
        <f t="shared" si="2"/>
        <v/>
      </c>
      <c r="Q12" s="6">
        <f t="shared" si="15"/>
        <v>11</v>
      </c>
      <c r="R12" s="25" t="str">
        <f t="shared" si="9"/>
        <v/>
      </c>
      <c r="S12" s="25" t="str">
        <f>print!B86</f>
        <v/>
      </c>
      <c r="T12" s="25" t="str">
        <f t="shared" si="3"/>
        <v/>
      </c>
      <c r="U12" s="25" t="e">
        <f t="shared" si="10"/>
        <v>#NUM!</v>
      </c>
      <c r="V12" s="25" t="str">
        <f t="shared" si="11"/>
        <v/>
      </c>
      <c r="W12" s="8" t="str">
        <f t="shared" si="12"/>
        <v/>
      </c>
      <c r="X12" s="181" t="s">
        <v>101</v>
      </c>
    </row>
    <row r="13" spans="1:24" x14ac:dyDescent="0.25">
      <c r="A13">
        <v>12</v>
      </c>
      <c r="B13" s="45" t="str">
        <f>IF(builder!B72&lt;&gt;"",builder!B72,"")</f>
        <v/>
      </c>
      <c r="C13" s="61" t="e">
        <f>IF(AND($B13=C$1,SUM(C2:C12)&lt;1),COUNTIF($B$2:$B$23,C$1),0)</f>
        <v>#N/A</v>
      </c>
      <c r="D13" s="61" t="e">
        <f t="shared" ref="D13:G13" si="32">IF(AND($B13=D$1,SUM(D2:D12)&lt;1),COUNTIF($B$2:$B$23,D$1),0)</f>
        <v>#N/A</v>
      </c>
      <c r="E13" s="61" t="e">
        <f t="shared" si="32"/>
        <v>#N/A</v>
      </c>
      <c r="F13" s="246" t="e">
        <f t="shared" ref="F13" si="33">IF(AND($B13=F$1,SUM(F2:F12)&lt;1),COUNTIF($B$2:$B$23,F$1),0)</f>
        <v>#N/A</v>
      </c>
      <c r="G13" s="61" t="e">
        <f t="shared" si="32"/>
        <v>#N/A</v>
      </c>
      <c r="H13" s="60" t="e">
        <f t="shared" si="6"/>
        <v>#N/A</v>
      </c>
      <c r="I13" s="131" t="str">
        <f t="shared" si="7"/>
        <v/>
      </c>
      <c r="K13" s="24"/>
      <c r="L13" s="61" t="str">
        <f t="shared" si="8"/>
        <v/>
      </c>
      <c r="M13" s="24" t="e">
        <f t="shared" si="1"/>
        <v>#N/A</v>
      </c>
      <c r="N13" s="61" t="str">
        <f t="shared" si="2"/>
        <v/>
      </c>
      <c r="Q13" s="6">
        <f t="shared" si="15"/>
        <v>12</v>
      </c>
      <c r="R13" s="25" t="str">
        <f t="shared" si="9"/>
        <v/>
      </c>
      <c r="S13" s="25" t="str">
        <f>print!B89</f>
        <v/>
      </c>
      <c r="T13" s="25" t="str">
        <f t="shared" si="3"/>
        <v/>
      </c>
      <c r="U13" s="25" t="e">
        <f t="shared" si="10"/>
        <v>#NUM!</v>
      </c>
      <c r="V13" s="25" t="str">
        <f t="shared" si="11"/>
        <v/>
      </c>
      <c r="W13" s="8" t="str">
        <f t="shared" si="12"/>
        <v/>
      </c>
      <c r="X13" s="181" t="s">
        <v>101</v>
      </c>
    </row>
    <row r="14" spans="1:24" x14ac:dyDescent="0.25">
      <c r="A14">
        <v>13</v>
      </c>
      <c r="B14" s="45" t="str">
        <f>IF(builder!B73&lt;&gt;"",builder!B73,"")</f>
        <v/>
      </c>
      <c r="C14" s="61" t="e">
        <f>IF(AND($B14=C$1,SUM(C2:C13)&lt;1),COUNTIF($B$2:$B$23,C$1),0)</f>
        <v>#N/A</v>
      </c>
      <c r="D14" s="61" t="e">
        <f t="shared" ref="D14:G14" si="34">IF(AND($B14=D$1,SUM(D2:D13)&lt;1),COUNTIF($B$2:$B$23,D$1),0)</f>
        <v>#N/A</v>
      </c>
      <c r="E14" s="61" t="e">
        <f t="shared" si="34"/>
        <v>#N/A</v>
      </c>
      <c r="F14" s="246" t="e">
        <f t="shared" ref="F14" si="35">IF(AND($B14=F$1,SUM(F2:F13)&lt;1),COUNTIF($B$2:$B$23,F$1),0)</f>
        <v>#N/A</v>
      </c>
      <c r="G14" s="61" t="e">
        <f t="shared" si="34"/>
        <v>#N/A</v>
      </c>
      <c r="H14" s="60" t="e">
        <f t="shared" si="6"/>
        <v>#N/A</v>
      </c>
      <c r="I14" s="131" t="str">
        <f t="shared" si="7"/>
        <v/>
      </c>
      <c r="K14" s="24"/>
      <c r="L14" s="61" t="str">
        <f t="shared" si="8"/>
        <v/>
      </c>
      <c r="M14" s="61" t="e">
        <f t="shared" si="1"/>
        <v>#N/A</v>
      </c>
      <c r="N14" s="61" t="str">
        <f t="shared" si="2"/>
        <v/>
      </c>
      <c r="Q14" s="6">
        <f t="shared" si="15"/>
        <v>13</v>
      </c>
      <c r="R14" s="25" t="str">
        <f t="shared" si="9"/>
        <v/>
      </c>
      <c r="S14" s="25" t="str">
        <f>print!B92</f>
        <v/>
      </c>
      <c r="T14" s="25" t="str">
        <f t="shared" si="3"/>
        <v/>
      </c>
      <c r="U14" s="25" t="e">
        <f t="shared" si="10"/>
        <v>#NUM!</v>
      </c>
      <c r="V14" s="25" t="str">
        <f t="shared" si="11"/>
        <v/>
      </c>
      <c r="W14" s="8" t="str">
        <f t="shared" si="12"/>
        <v/>
      </c>
      <c r="X14" s="181" t="s">
        <v>101</v>
      </c>
    </row>
    <row r="15" spans="1:24" x14ac:dyDescent="0.25">
      <c r="A15">
        <v>14</v>
      </c>
      <c r="B15" s="46" t="str">
        <f>IF(builder!B74&lt;&gt;"",builder!B74,"")</f>
        <v/>
      </c>
      <c r="C15" s="61" t="e">
        <f>IF(AND($B15=C$1,SUM(C2:C14)&lt;1),COUNTIF($B$2:$B$23,C$1),0)</f>
        <v>#N/A</v>
      </c>
      <c r="D15" s="61" t="e">
        <f t="shared" ref="D15:G15" si="36">IF(AND($B15=D$1,SUM(D2:D14)&lt;1),COUNTIF($B$2:$B$23,D$1),0)</f>
        <v>#N/A</v>
      </c>
      <c r="E15" s="61" t="e">
        <f t="shared" si="36"/>
        <v>#N/A</v>
      </c>
      <c r="F15" s="246" t="e">
        <f t="shared" ref="F15" si="37">IF(AND($B15=F$1,SUM(F2:F14)&lt;1),COUNTIF($B$2:$B$23,F$1),0)</f>
        <v>#N/A</v>
      </c>
      <c r="G15" s="61" t="e">
        <f t="shared" si="36"/>
        <v>#N/A</v>
      </c>
      <c r="H15" s="60" t="e">
        <f t="shared" si="6"/>
        <v>#N/A</v>
      </c>
      <c r="I15" s="131" t="str">
        <f t="shared" si="7"/>
        <v/>
      </c>
      <c r="K15" s="24"/>
      <c r="L15" s="61" t="str">
        <f t="shared" si="8"/>
        <v/>
      </c>
      <c r="M15" s="61" t="e">
        <f t="shared" si="1"/>
        <v>#N/A</v>
      </c>
      <c r="N15" s="61" t="str">
        <f t="shared" si="2"/>
        <v/>
      </c>
      <c r="Q15" s="6">
        <f t="shared" si="15"/>
        <v>14</v>
      </c>
      <c r="R15" s="25" t="str">
        <f t="shared" si="9"/>
        <v/>
      </c>
      <c r="S15" s="25" t="str">
        <f>print!B95</f>
        <v/>
      </c>
      <c r="T15" s="25" t="str">
        <f t="shared" si="3"/>
        <v/>
      </c>
      <c r="U15" s="25" t="e">
        <f t="shared" si="10"/>
        <v>#NUM!</v>
      </c>
      <c r="V15" s="25" t="str">
        <f t="shared" si="11"/>
        <v/>
      </c>
      <c r="W15" s="8" t="str">
        <f t="shared" si="12"/>
        <v/>
      </c>
      <c r="X15" s="181" t="s">
        <v>101</v>
      </c>
    </row>
    <row r="16" spans="1:24" s="61" customFormat="1" x14ac:dyDescent="0.25">
      <c r="A16" s="61">
        <v>15</v>
      </c>
      <c r="B16" s="147" t="str">
        <f>IF(builder!N67&lt;&gt;"",builder!N67,"")</f>
        <v/>
      </c>
      <c r="C16" s="61" t="e">
        <f>IF(AND($B16=C$1,SUM(C2:C15)&lt;1),COUNTIF($B$2:$B$23,C$1),0)</f>
        <v>#N/A</v>
      </c>
      <c r="D16" s="61" t="e">
        <f t="shared" ref="D16:G16" si="38">IF(AND($B16=D$1,SUM(D2:D15)&lt;1),COUNTIF($B$2:$B$23,D$1),0)</f>
        <v>#N/A</v>
      </c>
      <c r="E16" s="61" t="e">
        <f t="shared" si="38"/>
        <v>#N/A</v>
      </c>
      <c r="F16" s="246" t="e">
        <f t="shared" ref="F16" si="39">IF(AND($B16=F$1,SUM(F2:F15)&lt;1),COUNTIF($B$2:$B$23,F$1),0)</f>
        <v>#N/A</v>
      </c>
      <c r="G16" s="61" t="e">
        <f t="shared" si="38"/>
        <v>#N/A</v>
      </c>
      <c r="H16" s="60" t="e">
        <f t="shared" si="6"/>
        <v>#N/A</v>
      </c>
      <c r="I16" s="131" t="str">
        <f t="shared" si="7"/>
        <v/>
      </c>
      <c r="L16" s="61" t="str">
        <f t="shared" si="8"/>
        <v/>
      </c>
      <c r="M16" s="61" t="e">
        <f t="shared" si="1"/>
        <v>#N/A</v>
      </c>
      <c r="N16" s="61" t="str">
        <f t="shared" si="2"/>
        <v/>
      </c>
      <c r="P16" s="169"/>
      <c r="Q16" s="6">
        <f t="shared" si="15"/>
        <v>15</v>
      </c>
      <c r="R16" s="25" t="str">
        <f t="shared" si="9"/>
        <v/>
      </c>
      <c r="S16" s="25"/>
      <c r="T16" s="25" t="str">
        <f t="shared" si="3"/>
        <v/>
      </c>
      <c r="U16" s="25" t="e">
        <f t="shared" si="10"/>
        <v>#NUM!</v>
      </c>
      <c r="V16" s="25" t="str">
        <f t="shared" si="11"/>
        <v/>
      </c>
      <c r="W16" s="8" t="str">
        <f t="shared" si="12"/>
        <v/>
      </c>
      <c r="X16" s="181" t="s">
        <v>101</v>
      </c>
    </row>
    <row r="17" spans="1:24" s="61" customFormat="1" x14ac:dyDescent="0.25">
      <c r="A17" s="61">
        <v>16</v>
      </c>
      <c r="B17" s="147" t="str">
        <f>IF(builder!N68&lt;&gt;"",builder!N68,"")</f>
        <v/>
      </c>
      <c r="C17" s="61" t="e">
        <f>IF(AND($B17=C$1,SUM(C2:C16)&lt;1),COUNTIF($B$2:$B$23,C$1),0)</f>
        <v>#N/A</v>
      </c>
      <c r="D17" s="61" t="e">
        <f t="shared" ref="D17:G17" si="40">IF(AND($B17=D$1,SUM(D2:D16)&lt;1),COUNTIF($B$2:$B$23,D$1),0)</f>
        <v>#N/A</v>
      </c>
      <c r="E17" s="61" t="e">
        <f t="shared" si="40"/>
        <v>#N/A</v>
      </c>
      <c r="F17" s="246" t="e">
        <f t="shared" ref="F17" si="41">IF(AND($B17=F$1,SUM(F2:F16)&lt;1),COUNTIF($B$2:$B$23,F$1),0)</f>
        <v>#N/A</v>
      </c>
      <c r="G17" s="61" t="e">
        <f t="shared" si="40"/>
        <v>#N/A</v>
      </c>
      <c r="H17" s="60" t="e">
        <f t="shared" si="6"/>
        <v>#N/A</v>
      </c>
      <c r="I17" s="131" t="str">
        <f t="shared" si="7"/>
        <v/>
      </c>
      <c r="L17" s="61" t="str">
        <f t="shared" si="8"/>
        <v/>
      </c>
      <c r="M17" s="61" t="e">
        <f t="shared" si="1"/>
        <v>#N/A</v>
      </c>
      <c r="N17" s="61" t="str">
        <f t="shared" si="2"/>
        <v/>
      </c>
      <c r="P17" s="169"/>
      <c r="Q17" s="6">
        <f t="shared" si="15"/>
        <v>16</v>
      </c>
      <c r="R17" s="25" t="str">
        <f t="shared" si="9"/>
        <v/>
      </c>
      <c r="S17" s="25"/>
      <c r="T17" s="25" t="str">
        <f t="shared" si="3"/>
        <v/>
      </c>
      <c r="U17" s="25" t="e">
        <f t="shared" si="10"/>
        <v>#NUM!</v>
      </c>
      <c r="V17" s="25" t="str">
        <f t="shared" si="11"/>
        <v/>
      </c>
      <c r="W17" s="8" t="str">
        <f t="shared" si="12"/>
        <v/>
      </c>
      <c r="X17" s="181" t="s">
        <v>101</v>
      </c>
    </row>
    <row r="18" spans="1:24" s="61" customFormat="1" x14ac:dyDescent="0.25">
      <c r="A18" s="61">
        <v>17</v>
      </c>
      <c r="B18" s="147" t="str">
        <f>IF(builder!N69&lt;&gt;"",builder!N69,"")</f>
        <v/>
      </c>
      <c r="C18" s="61" t="e">
        <f>IF(AND($B18=C$1,SUM(C2:C17)&lt;1),COUNTIF($B$2:$B$23,C$1),0)</f>
        <v>#N/A</v>
      </c>
      <c r="D18" s="61" t="e">
        <f t="shared" ref="D18:G18" si="42">IF(AND($B18=D$1,SUM(D2:D17)&lt;1),COUNTIF($B$2:$B$23,D$1),0)</f>
        <v>#N/A</v>
      </c>
      <c r="E18" s="61" t="e">
        <f t="shared" si="42"/>
        <v>#N/A</v>
      </c>
      <c r="F18" s="246" t="e">
        <f t="shared" ref="F18" si="43">IF(AND($B18=F$1,SUM(F2:F17)&lt;1),COUNTIF($B$2:$B$23,F$1),0)</f>
        <v>#N/A</v>
      </c>
      <c r="G18" s="61" t="e">
        <f t="shared" si="42"/>
        <v>#N/A</v>
      </c>
      <c r="H18" s="60" t="e">
        <f t="shared" si="6"/>
        <v>#N/A</v>
      </c>
      <c r="I18" s="131" t="str">
        <f t="shared" si="7"/>
        <v/>
      </c>
      <c r="L18" s="61" t="str">
        <f t="shared" si="8"/>
        <v/>
      </c>
      <c r="M18" s="61" t="e">
        <f t="shared" si="1"/>
        <v>#N/A</v>
      </c>
      <c r="N18" s="61" t="str">
        <f t="shared" si="2"/>
        <v/>
      </c>
      <c r="P18" s="169"/>
      <c r="Q18" s="6">
        <f t="shared" si="15"/>
        <v>17</v>
      </c>
      <c r="R18" s="25" t="str">
        <f t="shared" si="9"/>
        <v/>
      </c>
      <c r="S18" s="25"/>
      <c r="T18" s="25" t="str">
        <f t="shared" si="3"/>
        <v/>
      </c>
      <c r="U18" s="25" t="e">
        <f t="shared" si="10"/>
        <v>#NUM!</v>
      </c>
      <c r="V18" s="25" t="str">
        <f t="shared" si="11"/>
        <v/>
      </c>
      <c r="W18" s="8" t="str">
        <f t="shared" si="12"/>
        <v/>
      </c>
      <c r="X18" s="181" t="s">
        <v>101</v>
      </c>
    </row>
    <row r="19" spans="1:24" s="61" customFormat="1" x14ac:dyDescent="0.25">
      <c r="A19" s="61">
        <v>18</v>
      </c>
      <c r="B19" s="147" t="str">
        <f>IF(builder!N70&lt;&gt;"",builder!N70,"")</f>
        <v/>
      </c>
      <c r="C19" s="61" t="e">
        <f>IF(AND($B19=C$1,SUM(C2:C18)&lt;1),COUNTIF($B$2:$B$23,C$1),0)</f>
        <v>#N/A</v>
      </c>
      <c r="D19" s="61" t="e">
        <f t="shared" ref="D19:G19" si="44">IF(AND($B19=D$1,SUM(D2:D18)&lt;1),COUNTIF($B$2:$B$23,D$1),0)</f>
        <v>#N/A</v>
      </c>
      <c r="E19" s="61" t="e">
        <f t="shared" si="44"/>
        <v>#N/A</v>
      </c>
      <c r="F19" s="246" t="e">
        <f t="shared" ref="F19" si="45">IF(AND($B19=F$1,SUM(F2:F18)&lt;1),COUNTIF($B$2:$B$23,F$1),0)</f>
        <v>#N/A</v>
      </c>
      <c r="G19" s="61" t="e">
        <f t="shared" si="44"/>
        <v>#N/A</v>
      </c>
      <c r="H19" s="60" t="e">
        <f t="shared" si="6"/>
        <v>#N/A</v>
      </c>
      <c r="I19" s="131" t="str">
        <f t="shared" si="7"/>
        <v/>
      </c>
      <c r="L19" s="61" t="str">
        <f t="shared" si="8"/>
        <v/>
      </c>
      <c r="M19" s="61" t="e">
        <f t="shared" si="1"/>
        <v>#N/A</v>
      </c>
      <c r="N19" s="61" t="str">
        <f t="shared" si="2"/>
        <v/>
      </c>
      <c r="P19" s="169"/>
      <c r="Q19" s="6">
        <f t="shared" si="15"/>
        <v>18</v>
      </c>
      <c r="R19" s="25" t="str">
        <f t="shared" si="9"/>
        <v/>
      </c>
      <c r="S19" s="25"/>
      <c r="T19" s="25" t="str">
        <f t="shared" si="3"/>
        <v/>
      </c>
      <c r="U19" s="25" t="e">
        <f t="shared" si="10"/>
        <v>#NUM!</v>
      </c>
      <c r="V19" s="25" t="str">
        <f t="shared" si="11"/>
        <v/>
      </c>
      <c r="W19" s="8" t="str">
        <f t="shared" si="12"/>
        <v/>
      </c>
      <c r="X19" s="181" t="s">
        <v>101</v>
      </c>
    </row>
    <row r="20" spans="1:24" s="61" customFormat="1" x14ac:dyDescent="0.25">
      <c r="A20" s="61">
        <v>19</v>
      </c>
      <c r="B20" s="147" t="str">
        <f>IF(builder!N71&lt;&gt;"",builder!N71,"")</f>
        <v/>
      </c>
      <c r="C20" s="61" t="e">
        <f>IF(AND($B20=C$1,SUM(C2:C19)&lt;1),COUNTIF($B$2:$B$23,C$1),0)</f>
        <v>#N/A</v>
      </c>
      <c r="D20" s="61" t="e">
        <f t="shared" ref="D20:G20" si="46">IF(AND($B20=D$1,SUM(D2:D19)&lt;1),COUNTIF($B$2:$B$23,D$1),0)</f>
        <v>#N/A</v>
      </c>
      <c r="E20" s="61" t="e">
        <f t="shared" si="46"/>
        <v>#N/A</v>
      </c>
      <c r="F20" s="246" t="e">
        <f t="shared" ref="F20" si="47">IF(AND($B20=F$1,SUM(F2:F19)&lt;1),COUNTIF($B$2:$B$23,F$1),0)</f>
        <v>#N/A</v>
      </c>
      <c r="G20" s="61" t="e">
        <f t="shared" si="46"/>
        <v>#N/A</v>
      </c>
      <c r="H20" s="60" t="e">
        <f t="shared" si="6"/>
        <v>#N/A</v>
      </c>
      <c r="I20" s="131" t="str">
        <f t="shared" si="7"/>
        <v/>
      </c>
      <c r="L20" s="61" t="str">
        <f t="shared" si="8"/>
        <v/>
      </c>
      <c r="M20" s="61" t="e">
        <f t="shared" si="1"/>
        <v>#N/A</v>
      </c>
      <c r="N20" s="61" t="str">
        <f t="shared" si="2"/>
        <v/>
      </c>
      <c r="P20" s="169"/>
      <c r="Q20" s="6">
        <f t="shared" si="15"/>
        <v>19</v>
      </c>
      <c r="R20" s="25" t="str">
        <f t="shared" si="9"/>
        <v/>
      </c>
      <c r="S20" s="25"/>
      <c r="T20" s="25" t="str">
        <f t="shared" si="3"/>
        <v/>
      </c>
      <c r="U20" s="25" t="e">
        <f t="shared" si="10"/>
        <v>#NUM!</v>
      </c>
      <c r="V20" s="25" t="str">
        <f t="shared" si="11"/>
        <v/>
      </c>
      <c r="W20" s="8" t="str">
        <f t="shared" si="12"/>
        <v/>
      </c>
      <c r="X20" s="181" t="s">
        <v>101</v>
      </c>
    </row>
    <row r="21" spans="1:24" s="61" customFormat="1" x14ac:dyDescent="0.25">
      <c r="A21" s="61">
        <v>20</v>
      </c>
      <c r="B21" s="147" t="str">
        <f>IF(builder!N72&lt;&gt;"",builder!N72,"")</f>
        <v/>
      </c>
      <c r="C21" s="61" t="e">
        <f>IF(AND($B21=C$1,SUM(C2:C20)&lt;1),COUNTIF($B$2:$B$23,C$1),0)</f>
        <v>#N/A</v>
      </c>
      <c r="D21" s="61" t="e">
        <f t="shared" ref="D21:G21" si="48">IF(AND($B21=D$1,SUM(D2:D20)&lt;1),COUNTIF($B$2:$B$23,D$1),0)</f>
        <v>#N/A</v>
      </c>
      <c r="E21" s="61" t="e">
        <f t="shared" si="48"/>
        <v>#N/A</v>
      </c>
      <c r="F21" s="246" t="e">
        <f t="shared" ref="F21" si="49">IF(AND($B21=F$1,SUM(F2:F20)&lt;1),COUNTIF($B$2:$B$23,F$1),0)</f>
        <v>#N/A</v>
      </c>
      <c r="G21" s="61" t="e">
        <f t="shared" si="48"/>
        <v>#N/A</v>
      </c>
      <c r="H21" s="60" t="e">
        <f t="shared" si="6"/>
        <v>#N/A</v>
      </c>
      <c r="I21" s="131" t="str">
        <f t="shared" si="7"/>
        <v/>
      </c>
      <c r="L21" s="61" t="str">
        <f t="shared" si="8"/>
        <v/>
      </c>
      <c r="M21" s="61" t="e">
        <f t="shared" si="1"/>
        <v>#N/A</v>
      </c>
      <c r="N21" s="61" t="str">
        <f t="shared" si="2"/>
        <v/>
      </c>
      <c r="P21" s="169"/>
      <c r="Q21" s="6">
        <f t="shared" si="15"/>
        <v>20</v>
      </c>
      <c r="R21" s="25" t="str">
        <f t="shared" si="9"/>
        <v/>
      </c>
      <c r="S21" s="25"/>
      <c r="T21" s="25" t="str">
        <f t="shared" si="3"/>
        <v/>
      </c>
      <c r="U21" s="25" t="e">
        <f t="shared" si="10"/>
        <v>#NUM!</v>
      </c>
      <c r="V21" s="25" t="str">
        <f t="shared" si="11"/>
        <v/>
      </c>
      <c r="W21" s="8" t="str">
        <f t="shared" si="12"/>
        <v/>
      </c>
      <c r="X21" s="181" t="s">
        <v>101</v>
      </c>
    </row>
    <row r="22" spans="1:24" s="61" customFormat="1" x14ac:dyDescent="0.25">
      <c r="A22" s="61">
        <v>21</v>
      </c>
      <c r="B22" s="147" t="str">
        <f>IF(builder!N73&lt;&gt;"",builder!N73,"")</f>
        <v/>
      </c>
      <c r="C22" s="61" t="e">
        <f>IF(AND($B22=C$1,SUM(C2:C21)&lt;1),COUNTIF($B$2:$B$23,C$1),0)</f>
        <v>#N/A</v>
      </c>
      <c r="D22" s="61" t="e">
        <f t="shared" ref="D22:G22" si="50">IF(AND($B22=D$1,SUM(D2:D21)&lt;1),COUNTIF($B$2:$B$23,D$1),0)</f>
        <v>#N/A</v>
      </c>
      <c r="E22" s="61" t="e">
        <f t="shared" si="50"/>
        <v>#N/A</v>
      </c>
      <c r="F22" s="246" t="e">
        <f t="shared" ref="F22" si="51">IF(AND($B22=F$1,SUM(F2:F21)&lt;1),COUNTIF($B$2:$B$23,F$1),0)</f>
        <v>#N/A</v>
      </c>
      <c r="G22" s="61" t="e">
        <f t="shared" si="50"/>
        <v>#N/A</v>
      </c>
      <c r="H22" s="60" t="e">
        <f t="shared" si="6"/>
        <v>#N/A</v>
      </c>
      <c r="I22" s="131" t="str">
        <f t="shared" si="7"/>
        <v/>
      </c>
      <c r="L22" s="61" t="str">
        <f t="shared" si="8"/>
        <v/>
      </c>
      <c r="M22" s="61" t="e">
        <f t="shared" si="1"/>
        <v>#N/A</v>
      </c>
      <c r="N22" s="61" t="str">
        <f t="shared" si="2"/>
        <v/>
      </c>
      <c r="P22" s="169"/>
      <c r="Q22" s="6">
        <f t="shared" si="15"/>
        <v>21</v>
      </c>
      <c r="R22" s="25" t="str">
        <f t="shared" si="9"/>
        <v/>
      </c>
      <c r="S22" s="25"/>
      <c r="T22" s="25" t="str">
        <f t="shared" si="3"/>
        <v/>
      </c>
      <c r="U22" s="25" t="e">
        <f t="shared" si="10"/>
        <v>#NUM!</v>
      </c>
      <c r="V22" s="25" t="str">
        <f t="shared" si="11"/>
        <v/>
      </c>
      <c r="W22" s="8" t="str">
        <f t="shared" si="12"/>
        <v/>
      </c>
      <c r="X22" s="181" t="s">
        <v>101</v>
      </c>
    </row>
    <row r="23" spans="1:24" s="61" customFormat="1" x14ac:dyDescent="0.25">
      <c r="A23" s="61">
        <v>22</v>
      </c>
      <c r="B23" s="147" t="str">
        <f>IF(builder!N74&lt;&gt;"",builder!N74,"")</f>
        <v/>
      </c>
      <c r="C23" s="61" t="e">
        <f>IF(AND($B23=C$1,SUM(C2:C22)&lt;1),COUNTIF($B$2:$B$23,C$1),0)</f>
        <v>#N/A</v>
      </c>
      <c r="D23" s="61" t="e">
        <f t="shared" ref="D23:G23" si="52">IF(AND($B23=D$1,SUM(D2:D22)&lt;1),COUNTIF($B$2:$B$23,D$1),0)</f>
        <v>#N/A</v>
      </c>
      <c r="E23" s="61" t="e">
        <f t="shared" si="52"/>
        <v>#N/A</v>
      </c>
      <c r="F23" s="246" t="e">
        <f t="shared" ref="F23" si="53">IF(AND($B23=F$1,SUM(F2:F22)&lt;1),COUNTIF($B$2:$B$23,F$1),0)</f>
        <v>#N/A</v>
      </c>
      <c r="G23" s="61" t="e">
        <f t="shared" si="52"/>
        <v>#N/A</v>
      </c>
      <c r="H23" s="60" t="e">
        <f t="shared" si="6"/>
        <v>#N/A</v>
      </c>
      <c r="I23" s="131" t="str">
        <f t="shared" si="7"/>
        <v/>
      </c>
      <c r="L23" s="61" t="str">
        <f t="shared" si="8"/>
        <v/>
      </c>
      <c r="M23" s="61" t="e">
        <f t="shared" si="1"/>
        <v>#N/A</v>
      </c>
      <c r="N23" s="61" t="str">
        <f t="shared" si="2"/>
        <v/>
      </c>
      <c r="P23" s="169"/>
      <c r="Q23" s="6">
        <f t="shared" si="15"/>
        <v>22</v>
      </c>
      <c r="R23" s="25" t="str">
        <f t="shared" si="9"/>
        <v/>
      </c>
      <c r="S23" s="25"/>
      <c r="T23" s="25" t="str">
        <f t="shared" si="3"/>
        <v/>
      </c>
      <c r="U23" s="25" t="e">
        <f t="shared" si="10"/>
        <v>#NUM!</v>
      </c>
      <c r="V23" s="25" t="str">
        <f t="shared" si="11"/>
        <v/>
      </c>
      <c r="W23" s="8" t="str">
        <f t="shared" si="12"/>
        <v/>
      </c>
      <c r="X23" s="181" t="s">
        <v>101</v>
      </c>
    </row>
    <row r="24" spans="1:24" s="24" customFormat="1" x14ac:dyDescent="0.25">
      <c r="A24" s="61">
        <v>23</v>
      </c>
      <c r="B24" s="26" t="e">
        <f>IF(E24&lt;&gt;0,CONCATENATE(E1," x ",E24),"")</f>
        <v>#N/A</v>
      </c>
      <c r="C24" s="24" t="e">
        <f>SUM(C2:C23)</f>
        <v>#N/A</v>
      </c>
      <c r="D24" s="61" t="e">
        <f t="shared" ref="D24:G24" si="54">SUM(D2:D23)</f>
        <v>#N/A</v>
      </c>
      <c r="E24" s="61" t="e">
        <f t="shared" si="54"/>
        <v>#N/A</v>
      </c>
      <c r="F24" s="246" t="e">
        <f t="shared" ref="F24" si="55">SUM(F2:F23)</f>
        <v>#N/A</v>
      </c>
      <c r="G24" s="61" t="e">
        <f t="shared" si="54"/>
        <v>#N/A</v>
      </c>
      <c r="H24" s="60" t="e">
        <f t="shared" si="6"/>
        <v>#N/A</v>
      </c>
      <c r="I24" s="56"/>
      <c r="L24" s="24" t="e">
        <f>IF(B24&lt;&gt;"",A24,"")</f>
        <v>#N/A</v>
      </c>
      <c r="M24" s="61" t="e">
        <f t="shared" si="1"/>
        <v>#N/A</v>
      </c>
      <c r="N24" s="61" t="str">
        <f t="shared" si="2"/>
        <v/>
      </c>
      <c r="P24" s="169"/>
      <c r="Q24" s="6">
        <f t="shared" si="15"/>
        <v>23</v>
      </c>
      <c r="R24" s="25" t="str">
        <f t="shared" si="9"/>
        <v/>
      </c>
      <c r="S24" s="25"/>
      <c r="T24" s="25" t="str">
        <f t="shared" si="3"/>
        <v/>
      </c>
      <c r="U24" s="25" t="e">
        <f t="shared" si="10"/>
        <v>#NUM!</v>
      </c>
      <c r="V24" s="25" t="str">
        <f t="shared" si="11"/>
        <v/>
      </c>
      <c r="W24" s="8" t="str">
        <f t="shared" si="12"/>
        <v/>
      </c>
      <c r="X24" s="181" t="s">
        <v>101</v>
      </c>
    </row>
    <row r="25" spans="1:24" s="24" customFormat="1" x14ac:dyDescent="0.25">
      <c r="A25" s="61">
        <v>24</v>
      </c>
      <c r="B25" s="26" t="e">
        <f>IF(G24&lt;&gt;0,CONCATENATE(G1," x ",G24),"")</f>
        <v>#N/A</v>
      </c>
      <c r="F25" s="246"/>
      <c r="L25" s="24" t="e">
        <f t="shared" ref="L25:L26" si="56">IF(B25&lt;&gt;"",A25,"")</f>
        <v>#N/A</v>
      </c>
      <c r="M25" s="61" t="e">
        <f t="shared" si="1"/>
        <v>#N/A</v>
      </c>
      <c r="N25" s="61" t="str">
        <f t="shared" si="2"/>
        <v/>
      </c>
      <c r="P25" s="169"/>
      <c r="Q25" s="6">
        <f t="shared" si="15"/>
        <v>24</v>
      </c>
      <c r="R25" s="25" t="str">
        <f t="shared" si="9"/>
        <v/>
      </c>
      <c r="S25" s="25"/>
      <c r="T25" s="25" t="str">
        <f t="shared" si="3"/>
        <v/>
      </c>
      <c r="U25" s="25" t="e">
        <f t="shared" si="10"/>
        <v>#NUM!</v>
      </c>
      <c r="V25" s="25" t="str">
        <f t="shared" si="11"/>
        <v/>
      </c>
      <c r="W25" s="8" t="str">
        <f t="shared" si="12"/>
        <v/>
      </c>
      <c r="X25" s="181" t="s">
        <v>101</v>
      </c>
    </row>
    <row r="26" spans="1:24" s="24" customFormat="1" x14ac:dyDescent="0.25">
      <c r="A26" s="61">
        <v>25</v>
      </c>
      <c r="B26" s="26" t="e">
        <f>IF(D24&lt;&gt;0,CONCATENATE(D1," x ",D24),"")</f>
        <v>#N/A</v>
      </c>
      <c r="F26" s="246"/>
      <c r="L26" s="24" t="e">
        <f t="shared" si="56"/>
        <v>#N/A</v>
      </c>
      <c r="M26" s="61" t="e">
        <f t="shared" si="1"/>
        <v>#N/A</v>
      </c>
      <c r="N26" s="61" t="str">
        <f t="shared" si="2"/>
        <v/>
      </c>
      <c r="P26" s="169"/>
      <c r="Q26" s="6">
        <f t="shared" si="15"/>
        <v>25</v>
      </c>
      <c r="R26" s="25" t="str">
        <f t="shared" si="9"/>
        <v/>
      </c>
      <c r="S26" s="25"/>
      <c r="T26" s="25" t="str">
        <f t="shared" si="3"/>
        <v/>
      </c>
      <c r="U26" s="25" t="e">
        <f t="shared" si="10"/>
        <v>#NUM!</v>
      </c>
      <c r="V26" s="25" t="str">
        <f t="shared" si="11"/>
        <v/>
      </c>
      <c r="W26" s="8" t="str">
        <f t="shared" si="12"/>
        <v/>
      </c>
      <c r="X26" s="181" t="s">
        <v>101</v>
      </c>
    </row>
    <row r="27" spans="1:24" s="24" customFormat="1" x14ac:dyDescent="0.25">
      <c r="A27" s="61">
        <v>26</v>
      </c>
      <c r="B27" s="26" t="e">
        <f>IF(C24&lt;&gt;0,CONCATENATE(C1," (",builder!B112,") x ",C24),"")</f>
        <v>#N/A</v>
      </c>
      <c r="F27" s="246"/>
      <c r="L27" s="24" t="e">
        <f>IF(B27&lt;&gt;"",A27,"")</f>
        <v>#N/A</v>
      </c>
      <c r="M27" s="61" t="e">
        <f t="shared" si="1"/>
        <v>#N/A</v>
      </c>
      <c r="N27" s="61" t="str">
        <f t="shared" si="2"/>
        <v/>
      </c>
      <c r="P27" s="169"/>
      <c r="Q27" s="6">
        <f t="shared" si="15"/>
        <v>26</v>
      </c>
      <c r="R27" s="25" t="str">
        <f t="shared" si="9"/>
        <v/>
      </c>
      <c r="S27" s="25"/>
      <c r="T27" s="25" t="str">
        <f t="shared" si="3"/>
        <v/>
      </c>
      <c r="U27" s="25" t="e">
        <f t="shared" si="10"/>
        <v>#NUM!</v>
      </c>
      <c r="V27" s="25" t="str">
        <f t="shared" si="11"/>
        <v/>
      </c>
      <c r="W27" s="8" t="str">
        <f t="shared" si="12"/>
        <v/>
      </c>
    </row>
    <row r="28" spans="1:24" x14ac:dyDescent="0.25">
      <c r="A28">
        <v>27</v>
      </c>
      <c r="B28" s="26" t="e">
        <f>IF(F24&lt;&gt;0,CONCATENATE(F1," x ",F24),"")</f>
        <v>#N/A</v>
      </c>
      <c r="H28" s="24"/>
      <c r="I28" s="24"/>
      <c r="J28" s="24"/>
      <c r="K28" s="24"/>
      <c r="L28" s="246" t="e">
        <f>IF(B28&lt;&gt;"",A28,"")</f>
        <v>#N/A</v>
      </c>
      <c r="M28" s="24" t="e">
        <f t="shared" si="1"/>
        <v>#N/A</v>
      </c>
      <c r="N28" s="24" t="str">
        <f t="shared" si="2"/>
        <v/>
      </c>
      <c r="Q28" s="6">
        <f t="shared" si="15"/>
        <v>27</v>
      </c>
      <c r="R28" s="25" t="s">
        <v>617</v>
      </c>
      <c r="S28" s="178" t="s">
        <v>101</v>
      </c>
      <c r="T28" s="25">
        <f t="shared" si="3"/>
        <v>27</v>
      </c>
      <c r="U28" s="25" t="e">
        <f t="shared" si="10"/>
        <v>#NUM!</v>
      </c>
      <c r="V28" s="25" t="str">
        <f t="shared" si="11"/>
        <v/>
      </c>
      <c r="W28" s="8" t="str">
        <f t="shared" si="12"/>
        <v/>
      </c>
    </row>
    <row r="29" spans="1:24" s="24" customFormat="1" x14ac:dyDescent="0.25">
      <c r="F29" s="246"/>
      <c r="P29" s="169"/>
      <c r="Q29" s="6">
        <f t="shared" si="15"/>
        <v>28</v>
      </c>
      <c r="R29" s="25" t="str">
        <f>print!B104</f>
        <v/>
      </c>
      <c r="S29" s="25" t="str">
        <f>print!B105</f>
        <v/>
      </c>
      <c r="T29" s="25" t="str">
        <f t="shared" si="3"/>
        <v/>
      </c>
      <c r="U29" s="25" t="e">
        <f t="shared" si="10"/>
        <v>#NUM!</v>
      </c>
      <c r="V29" s="25" t="str">
        <f t="shared" si="11"/>
        <v/>
      </c>
      <c r="W29" s="8" t="str">
        <f t="shared" si="12"/>
        <v/>
      </c>
    </row>
    <row r="30" spans="1:24" x14ac:dyDescent="0.25">
      <c r="B30" s="24" t="s">
        <v>827</v>
      </c>
      <c r="H30" s="24" t="s">
        <v>194</v>
      </c>
      <c r="I30" s="24" t="str">
        <f>builder!B112</f>
        <v/>
      </c>
      <c r="J30" s="24"/>
      <c r="K30" s="24"/>
      <c r="M30" s="24" t="s">
        <v>617</v>
      </c>
      <c r="N30" s="24"/>
      <c r="Q30" s="6">
        <f t="shared" si="15"/>
        <v>29</v>
      </c>
      <c r="R30" s="25" t="str">
        <f>print!B107</f>
        <v/>
      </c>
      <c r="S30" s="25" t="str">
        <f>print!B108</f>
        <v/>
      </c>
      <c r="T30" s="25" t="str">
        <f t="shared" si="3"/>
        <v/>
      </c>
      <c r="U30" s="25" t="e">
        <f t="shared" si="10"/>
        <v>#NUM!</v>
      </c>
      <c r="V30" s="25" t="str">
        <f t="shared" si="11"/>
        <v/>
      </c>
      <c r="W30" s="8" t="str">
        <f t="shared" si="12"/>
        <v/>
      </c>
    </row>
    <row r="31" spans="1:24" x14ac:dyDescent="0.25">
      <c r="A31" s="24">
        <v>1</v>
      </c>
      <c r="B31" s="52" t="str">
        <f>IF(styles!L64&lt;&gt;"",styles!L64,"")</f>
        <v/>
      </c>
      <c r="C31" s="52" t="str">
        <f>IF(B31&lt;&gt;"",A31,"")</f>
        <v/>
      </c>
      <c r="D31" s="52">
        <f>SMALL($C$31:$C$40,A31)</f>
        <v>4</v>
      </c>
      <c r="E31" s="52" t="str">
        <f>IF(ISERROR(D31),"",VLOOKUP(D31,$A$31:$B$40,2))</f>
        <v>Legend</v>
      </c>
      <c r="F31" s="52"/>
      <c r="G31">
        <v>1</v>
      </c>
      <c r="H31" s="52" t="str">
        <f>IF(builder!B118&lt;&gt;"",builder!B118,IF(AND(builder!$B$112=builder!$AB$133,builder!G133&lt;&gt;""),builder!G133,""))</f>
        <v/>
      </c>
      <c r="I31" s="52" t="str">
        <f>IF(H31&lt;&gt;"",G31,"")</f>
        <v/>
      </c>
      <c r="J31" s="52" t="e">
        <f>SMALL($I$31:$I$37,G31)</f>
        <v>#NUM!</v>
      </c>
      <c r="K31" s="52" t="str">
        <f>IF(ISERROR(J31),"",VLOOKUP(J31,$G$31:$H$37,2))</f>
        <v/>
      </c>
      <c r="L31" s="24">
        <v>1</v>
      </c>
      <c r="M31" s="24" t="str">
        <f>IF(builder!B106&lt;&gt;"",builder!B106,"")</f>
        <v/>
      </c>
      <c r="N31" s="52" t="str">
        <f>IF(M31&lt;&gt;"",L31,"")</f>
        <v/>
      </c>
      <c r="O31" s="52" t="e">
        <f>SMALL($N$31:$N$33,L31)</f>
        <v>#NUM!</v>
      </c>
      <c r="P31" s="52" t="str">
        <f>IF(ISERROR(O31),"",VLOOKUP(O31,$L$31:$M$37,2))</f>
        <v/>
      </c>
      <c r="Q31" s="6">
        <f t="shared" si="15"/>
        <v>30</v>
      </c>
      <c r="R31" s="25" t="str">
        <f>print!B110</f>
        <v/>
      </c>
      <c r="S31" s="25" t="str">
        <f>print!B111</f>
        <v/>
      </c>
      <c r="T31" s="25" t="str">
        <f t="shared" si="3"/>
        <v/>
      </c>
      <c r="U31" s="25" t="e">
        <f t="shared" si="10"/>
        <v>#NUM!</v>
      </c>
      <c r="V31" s="25" t="str">
        <f t="shared" si="11"/>
        <v/>
      </c>
      <c r="W31" s="8" t="str">
        <f t="shared" si="12"/>
        <v/>
      </c>
    </row>
    <row r="32" spans="1:24" x14ac:dyDescent="0.25">
      <c r="A32" s="24">
        <v>2</v>
      </c>
      <c r="B32" s="52" t="str">
        <f>IF(styles!L65&lt;&gt;"",styles!L65,"")</f>
        <v/>
      </c>
      <c r="C32" s="52" t="str">
        <f t="shared" ref="C32:C50" si="57">IF(B32&lt;&gt;"",A32,"")</f>
        <v/>
      </c>
      <c r="D32" s="52">
        <f t="shared" ref="D32:D40" si="58">SMALL($C$31:$C$40,A32)</f>
        <v>5</v>
      </c>
      <c r="E32" s="52" t="str">
        <f t="shared" ref="E32:E40" si="59">IF(ISERROR(D32),"",VLOOKUP(D32,$A$31:$B$40,2))</f>
        <v>Mad Luck</v>
      </c>
      <c r="F32" s="52"/>
      <c r="G32">
        <v>2</v>
      </c>
      <c r="H32" s="52" t="str">
        <f>IF(builder!B119&lt;&gt;"",builder!B119,IF(AND(builder!$B$112=builder!$AB$133,builder!G134&lt;&gt;""),builder!G134,""))</f>
        <v/>
      </c>
      <c r="I32" s="52" t="str">
        <f t="shared" ref="I32:I37" si="60">IF(H32&lt;&gt;"",G32,"")</f>
        <v/>
      </c>
      <c r="J32" s="52" t="e">
        <f t="shared" ref="J32:J37" si="61">SMALL($I$31:$I$37,G32)</f>
        <v>#NUM!</v>
      </c>
      <c r="K32" s="52" t="str">
        <f t="shared" ref="K32:K37" si="62">IF(ISERROR(J32),"",VLOOKUP(J32,$G$31:$H$37,2))</f>
        <v/>
      </c>
      <c r="L32" s="24">
        <v>2</v>
      </c>
      <c r="M32" s="169" t="str">
        <f>IF(builder!B107&lt;&gt;"",builder!B107,"")</f>
        <v/>
      </c>
      <c r="N32" s="52" t="str">
        <f t="shared" ref="N32:N33" si="63">IF(M32&lt;&gt;"",L32,"")</f>
        <v/>
      </c>
      <c r="O32" s="52" t="e">
        <f t="shared" ref="O32:O33" si="64">SMALL($N$31:$N$33,L32)</f>
        <v>#NUM!</v>
      </c>
      <c r="P32" s="52" t="str">
        <f t="shared" ref="P32:P33" si="65">IF(ISERROR(O32),"",VLOOKUP(O32,$L$31:$M$37,2))</f>
        <v/>
      </c>
      <c r="Q32" s="6">
        <f t="shared" si="15"/>
        <v>31</v>
      </c>
      <c r="R32" s="25" t="str">
        <f>print!B113</f>
        <v/>
      </c>
      <c r="S32" s="25" t="str">
        <f>print!B114</f>
        <v/>
      </c>
      <c r="T32" s="25" t="str">
        <f t="shared" si="3"/>
        <v/>
      </c>
      <c r="U32" s="25" t="e">
        <f t="shared" si="10"/>
        <v>#NUM!</v>
      </c>
      <c r="V32" s="25" t="str">
        <f t="shared" si="11"/>
        <v/>
      </c>
      <c r="W32" s="8" t="str">
        <f t="shared" si="12"/>
        <v/>
      </c>
    </row>
    <row r="33" spans="1:23" x14ac:dyDescent="0.25">
      <c r="A33" s="24">
        <v>3</v>
      </c>
      <c r="B33" s="52" t="str">
        <f>IF(styles!L66&lt;&gt;"",styles!L66,"")</f>
        <v/>
      </c>
      <c r="C33" s="52" t="str">
        <f t="shared" si="57"/>
        <v/>
      </c>
      <c r="D33" s="52">
        <f t="shared" si="58"/>
        <v>6</v>
      </c>
      <c r="E33" s="52" t="str">
        <f t="shared" si="59"/>
        <v>Mythic</v>
      </c>
      <c r="F33" s="52"/>
      <c r="G33">
        <v>3</v>
      </c>
      <c r="H33" s="52" t="str">
        <f>IF(builder!B120&lt;&gt;"",builder!B120,IF(AND(builder!$B$112=builder!$AB$133,builder!G135&lt;&gt;""),builder!G135,""))</f>
        <v/>
      </c>
      <c r="I33" s="52" t="str">
        <f t="shared" si="60"/>
        <v/>
      </c>
      <c r="J33" s="52" t="e">
        <f t="shared" si="61"/>
        <v>#NUM!</v>
      </c>
      <c r="K33" s="52" t="str">
        <f t="shared" si="62"/>
        <v/>
      </c>
      <c r="L33" s="24">
        <v>3</v>
      </c>
      <c r="M33" s="169" t="str">
        <f>IF(builder!B108&lt;&gt;"",builder!B108,"")</f>
        <v/>
      </c>
      <c r="N33" s="52" t="str">
        <f t="shared" si="63"/>
        <v/>
      </c>
      <c r="O33" s="52" t="e">
        <f t="shared" si="64"/>
        <v>#NUM!</v>
      </c>
      <c r="P33" s="52" t="str">
        <f t="shared" si="65"/>
        <v/>
      </c>
      <c r="Q33" s="6">
        <f t="shared" si="15"/>
        <v>32</v>
      </c>
      <c r="R33" s="25" t="str">
        <f>print!B115</f>
        <v/>
      </c>
      <c r="S33" s="25" t="str">
        <f>print!B116</f>
        <v/>
      </c>
      <c r="T33" s="25" t="str">
        <f t="shared" si="3"/>
        <v/>
      </c>
      <c r="U33" s="25" t="e">
        <f t="shared" si="10"/>
        <v>#NUM!</v>
      </c>
      <c r="V33" s="25" t="str">
        <f t="shared" si="11"/>
        <v/>
      </c>
      <c r="W33" s="8" t="str">
        <f t="shared" si="12"/>
        <v/>
      </c>
    </row>
    <row r="34" spans="1:23" x14ac:dyDescent="0.25">
      <c r="A34" s="24">
        <v>4</v>
      </c>
      <c r="B34" s="52" t="str">
        <f>IF(styles!L67&lt;&gt;"",styles!L67,"")</f>
        <v>Legend</v>
      </c>
      <c r="C34" s="52">
        <f t="shared" si="57"/>
        <v>4</v>
      </c>
      <c r="D34" s="52" t="e">
        <f t="shared" si="58"/>
        <v>#NUM!</v>
      </c>
      <c r="E34" s="52" t="str">
        <f t="shared" si="59"/>
        <v/>
      </c>
      <c r="F34" s="52"/>
      <c r="G34">
        <v>4</v>
      </c>
      <c r="H34" s="52" t="str">
        <f>IF(builder!B121&lt;&gt;"",builder!B121,IF(AND(builder!$B$112=builder!$AB$133,builder!G136&lt;&gt;""),builder!G136,""))</f>
        <v/>
      </c>
      <c r="I34" s="52" t="str">
        <f t="shared" si="60"/>
        <v/>
      </c>
      <c r="J34" s="52" t="e">
        <f t="shared" si="61"/>
        <v>#NUM!</v>
      </c>
      <c r="K34" s="52" t="str">
        <f t="shared" si="62"/>
        <v/>
      </c>
      <c r="L34" s="24"/>
      <c r="M34" s="24"/>
      <c r="N34" s="24"/>
      <c r="Q34" s="6">
        <f t="shared" si="15"/>
        <v>33</v>
      </c>
      <c r="R34" s="25" t="str">
        <f>print!B117</f>
        <v/>
      </c>
      <c r="S34" s="25" t="str">
        <f>print!B118</f>
        <v/>
      </c>
      <c r="T34" s="25" t="str">
        <f t="shared" ref="T34:T56" si="66">IF(R34&lt;&gt;"",Q34,"")</f>
        <v/>
      </c>
      <c r="U34" s="25" t="e">
        <f t="shared" si="10"/>
        <v>#NUM!</v>
      </c>
      <c r="V34" s="25" t="str">
        <f t="shared" si="11"/>
        <v/>
      </c>
      <c r="W34" s="8" t="str">
        <f t="shared" si="12"/>
        <v/>
      </c>
    </row>
    <row r="35" spans="1:23" x14ac:dyDescent="0.25">
      <c r="A35" s="24">
        <v>5</v>
      </c>
      <c r="B35" s="52" t="str">
        <f>IF(styles!L68&lt;&gt;"",styles!L68,"")</f>
        <v>Mad Luck</v>
      </c>
      <c r="C35" s="52">
        <f t="shared" si="57"/>
        <v>5</v>
      </c>
      <c r="D35" s="52" t="e">
        <f t="shared" si="58"/>
        <v>#NUM!</v>
      </c>
      <c r="E35" s="52" t="str">
        <f t="shared" si="59"/>
        <v/>
      </c>
      <c r="F35" s="52"/>
      <c r="G35">
        <v>5</v>
      </c>
      <c r="H35" s="52" t="str">
        <f>IF(builder!B122&lt;&gt;"",builder!B122,IF(AND(builder!$B$112=builder!$AB$133,builder!G137&lt;&gt;""),builder!G137,""))</f>
        <v/>
      </c>
      <c r="I35" s="52" t="str">
        <f t="shared" si="60"/>
        <v/>
      </c>
      <c r="J35" s="52" t="e">
        <f t="shared" si="61"/>
        <v>#NUM!</v>
      </c>
      <c r="K35" s="52" t="str">
        <f t="shared" si="62"/>
        <v/>
      </c>
      <c r="L35" s="24"/>
      <c r="M35" s="24"/>
      <c r="N35" s="24"/>
      <c r="Q35" s="6">
        <f t="shared" si="15"/>
        <v>34</v>
      </c>
      <c r="R35" s="25" t="s">
        <v>194</v>
      </c>
      <c r="S35" s="25" t="str">
        <f>print!B123</f>
        <v/>
      </c>
      <c r="T35" s="25">
        <f t="shared" si="66"/>
        <v>34</v>
      </c>
      <c r="U35" s="25" t="e">
        <f t="shared" si="10"/>
        <v>#NUM!</v>
      </c>
      <c r="V35" s="25" t="str">
        <f t="shared" si="11"/>
        <v/>
      </c>
      <c r="W35" s="8" t="str">
        <f t="shared" si="12"/>
        <v/>
      </c>
    </row>
    <row r="36" spans="1:23" x14ac:dyDescent="0.25">
      <c r="A36" s="24">
        <v>6</v>
      </c>
      <c r="B36" s="52" t="str">
        <f>IF(styles!L69&lt;&gt;"",styles!L69,"")</f>
        <v>Mythic</v>
      </c>
      <c r="C36" s="52">
        <f t="shared" si="57"/>
        <v>6</v>
      </c>
      <c r="D36" s="52" t="e">
        <f t="shared" si="58"/>
        <v>#NUM!</v>
      </c>
      <c r="E36" s="52" t="str">
        <f t="shared" si="59"/>
        <v/>
      </c>
      <c r="F36" s="52"/>
      <c r="G36">
        <v>6</v>
      </c>
      <c r="H36" s="52" t="str">
        <f>IF(builder!B123&lt;&gt;"",builder!B123,IF(AND(builder!$B$112=builder!$AB$133,builder!G138&lt;&gt;""),builder!G138,""))</f>
        <v/>
      </c>
      <c r="I36" s="52" t="str">
        <f t="shared" si="60"/>
        <v/>
      </c>
      <c r="J36" s="52" t="e">
        <f t="shared" si="61"/>
        <v>#NUM!</v>
      </c>
      <c r="K36" s="52" t="str">
        <f t="shared" si="62"/>
        <v/>
      </c>
      <c r="L36" s="24"/>
      <c r="M36" s="24"/>
      <c r="N36" s="24"/>
      <c r="Q36" s="6">
        <f t="shared" si="15"/>
        <v>35</v>
      </c>
      <c r="R36" s="52" t="str">
        <f>K31</f>
        <v/>
      </c>
      <c r="S36" s="52" t="str">
        <f>print!B128</f>
        <v/>
      </c>
      <c r="T36" s="25" t="str">
        <f t="shared" si="66"/>
        <v/>
      </c>
      <c r="U36" s="25" t="e">
        <f t="shared" si="10"/>
        <v>#NUM!</v>
      </c>
      <c r="V36" s="25" t="str">
        <f t="shared" si="11"/>
        <v/>
      </c>
      <c r="W36" s="8" t="str">
        <f t="shared" si="12"/>
        <v/>
      </c>
    </row>
    <row r="37" spans="1:23" x14ac:dyDescent="0.25">
      <c r="A37" s="24">
        <v>7</v>
      </c>
      <c r="B37" s="52" t="str">
        <f>IF(styles!L70&lt;&gt;"",styles!L70,"")</f>
        <v/>
      </c>
      <c r="C37" s="52" t="str">
        <f t="shared" si="57"/>
        <v/>
      </c>
      <c r="D37" s="52" t="e">
        <f t="shared" si="58"/>
        <v>#NUM!</v>
      </c>
      <c r="E37" s="52" t="str">
        <f t="shared" si="59"/>
        <v/>
      </c>
      <c r="F37" s="52"/>
      <c r="G37">
        <v>7</v>
      </c>
      <c r="H37" s="52" t="str">
        <f>IF(builder!B124&lt;&gt;"",builder!B124,IF(AND(builder!$B$112=builder!$AB$133,builder!G139&lt;&gt;""),builder!G139,""))</f>
        <v/>
      </c>
      <c r="I37" s="52" t="str">
        <f t="shared" si="60"/>
        <v/>
      </c>
      <c r="J37" s="52" t="e">
        <f t="shared" si="61"/>
        <v>#NUM!</v>
      </c>
      <c r="K37" s="52" t="str">
        <f t="shared" si="62"/>
        <v/>
      </c>
      <c r="L37" s="24"/>
      <c r="M37" s="24"/>
      <c r="N37" s="24"/>
      <c r="Q37" s="6">
        <f t="shared" si="15"/>
        <v>36</v>
      </c>
      <c r="R37" s="52" t="str">
        <f t="shared" ref="R37:R42" si="67">K32</f>
        <v/>
      </c>
      <c r="S37" s="52" t="str">
        <f>print!B130</f>
        <v/>
      </c>
      <c r="T37" s="25" t="str">
        <f t="shared" si="66"/>
        <v/>
      </c>
      <c r="U37" s="25" t="e">
        <f t="shared" si="10"/>
        <v>#NUM!</v>
      </c>
      <c r="V37" s="25" t="str">
        <f t="shared" si="11"/>
        <v/>
      </c>
      <c r="W37" s="8" t="str">
        <f t="shared" si="12"/>
        <v/>
      </c>
    </row>
    <row r="38" spans="1:23" x14ac:dyDescent="0.25">
      <c r="A38" s="24">
        <v>8</v>
      </c>
      <c r="B38" s="52" t="str">
        <f>IF(styles!L71&lt;&gt;"",styles!L71,"")</f>
        <v/>
      </c>
      <c r="C38" s="52" t="str">
        <f t="shared" si="57"/>
        <v/>
      </c>
      <c r="D38" s="52" t="e">
        <f t="shared" si="58"/>
        <v>#NUM!</v>
      </c>
      <c r="E38" s="53" t="str">
        <f t="shared" si="59"/>
        <v/>
      </c>
      <c r="F38" s="53"/>
      <c r="G38">
        <v>1</v>
      </c>
      <c r="H38" s="53" t="str">
        <f>IF(builder!G118&lt;&gt;"",builder!G118,IF(AND(builder!B126&lt;&gt;"",OR(builder!$B$112=builder!$AB$133,builder!$B$112=builder!$AC$133)),builder!B126,""))</f>
        <v/>
      </c>
      <c r="I38" s="53" t="str">
        <f>IF(H38&lt;&gt;"",G38,"")</f>
        <v/>
      </c>
      <c r="J38" s="53" t="e">
        <f>SMALL($I$38:$I$51,G38)</f>
        <v>#NUM!</v>
      </c>
      <c r="K38" s="53" t="str">
        <f>IF(ISERROR(J38),"",VLOOKUP(J38,$G$38:$H$51,2))</f>
        <v/>
      </c>
      <c r="L38" s="24"/>
      <c r="M38" s="24"/>
      <c r="N38" s="24"/>
      <c r="Q38" s="6">
        <f t="shared" si="15"/>
        <v>37</v>
      </c>
      <c r="R38" s="52" t="str">
        <f t="shared" si="67"/>
        <v/>
      </c>
      <c r="S38" s="52" t="str">
        <f>print!B132</f>
        <v/>
      </c>
      <c r="T38" s="25" t="str">
        <f t="shared" si="66"/>
        <v/>
      </c>
      <c r="U38" s="25" t="e">
        <f t="shared" si="10"/>
        <v>#NUM!</v>
      </c>
      <c r="V38" s="25" t="str">
        <f t="shared" si="11"/>
        <v/>
      </c>
      <c r="W38" s="8" t="str">
        <f t="shared" si="12"/>
        <v/>
      </c>
    </row>
    <row r="39" spans="1:23" x14ac:dyDescent="0.25">
      <c r="A39" s="24">
        <v>9</v>
      </c>
      <c r="B39" s="52" t="str">
        <f>IF(styles!L72&lt;&gt;"",styles!L72,"")</f>
        <v/>
      </c>
      <c r="C39" s="52" t="str">
        <f t="shared" si="57"/>
        <v/>
      </c>
      <c r="D39" s="52" t="e">
        <f t="shared" si="58"/>
        <v>#NUM!</v>
      </c>
      <c r="E39" s="53" t="str">
        <f t="shared" si="59"/>
        <v/>
      </c>
      <c r="F39" s="53"/>
      <c r="G39">
        <v>2</v>
      </c>
      <c r="H39" s="53" t="str">
        <f>IF(builder!G119&lt;&gt;"",builder!G119,IF(AND(builder!B127&lt;&gt;"",OR(builder!$B$112=builder!$AB$133,builder!$B$112=builder!$AC$133)),builder!B127,""))</f>
        <v/>
      </c>
      <c r="I39" s="53" t="str">
        <f t="shared" ref="I39:I50" si="68">IF(H39&lt;&gt;"",G39,"")</f>
        <v/>
      </c>
      <c r="J39" s="53" t="e">
        <f t="shared" ref="J39:J51" si="69">SMALL($I$38:$I$51,G39)</f>
        <v>#NUM!</v>
      </c>
      <c r="K39" s="53" t="str">
        <f t="shared" ref="K39:K51" si="70">IF(ISERROR(J39),"",VLOOKUP(J39,$G$38:$H$51,2))</f>
        <v/>
      </c>
      <c r="L39" s="24"/>
      <c r="M39" s="24"/>
      <c r="N39" s="24"/>
      <c r="Q39" s="6">
        <f t="shared" si="15"/>
        <v>38</v>
      </c>
      <c r="R39" s="52" t="str">
        <f t="shared" si="67"/>
        <v/>
      </c>
      <c r="S39" s="52" t="str">
        <f>print!B134</f>
        <v/>
      </c>
      <c r="T39" s="25" t="str">
        <f t="shared" si="66"/>
        <v/>
      </c>
      <c r="U39" s="25" t="e">
        <f t="shared" si="10"/>
        <v>#NUM!</v>
      </c>
      <c r="V39" s="25" t="str">
        <f t="shared" si="11"/>
        <v/>
      </c>
      <c r="W39" s="8" t="str">
        <f t="shared" si="12"/>
        <v/>
      </c>
    </row>
    <row r="40" spans="1:23" x14ac:dyDescent="0.25">
      <c r="A40" s="24">
        <v>10</v>
      </c>
      <c r="B40" s="52" t="str">
        <f>IF(styles!L73&lt;&gt;"",styles!L73,"")</f>
        <v/>
      </c>
      <c r="C40" s="52" t="str">
        <f t="shared" si="57"/>
        <v/>
      </c>
      <c r="D40" s="52" t="e">
        <f t="shared" si="58"/>
        <v>#NUM!</v>
      </c>
      <c r="E40" s="53" t="str">
        <f t="shared" si="59"/>
        <v/>
      </c>
      <c r="F40" s="53"/>
      <c r="G40">
        <v>3</v>
      </c>
      <c r="H40" s="53" t="str">
        <f>IF(builder!G120&lt;&gt;"",builder!G120,IF(AND(builder!B128&lt;&gt;"",OR(builder!$B$112=builder!$AB$133,builder!$B$112=builder!$AC$133)),builder!B128,""))</f>
        <v/>
      </c>
      <c r="I40" s="53" t="str">
        <f t="shared" si="68"/>
        <v/>
      </c>
      <c r="J40" s="53" t="e">
        <f t="shared" si="69"/>
        <v>#NUM!</v>
      </c>
      <c r="K40" s="53" t="str">
        <f>IF(ISERROR(J40),"",VLOOKUP(J40,$G$38:$H$51,2))</f>
        <v/>
      </c>
      <c r="L40" s="24"/>
      <c r="M40" s="24"/>
      <c r="N40" s="24"/>
      <c r="Q40" s="6">
        <f t="shared" si="15"/>
        <v>39</v>
      </c>
      <c r="R40" s="52" t="str">
        <f t="shared" si="67"/>
        <v/>
      </c>
      <c r="S40" s="52" t="str">
        <f>print!B136</f>
        <v/>
      </c>
      <c r="T40" s="25" t="str">
        <f t="shared" si="66"/>
        <v/>
      </c>
      <c r="U40" s="25" t="e">
        <f t="shared" si="10"/>
        <v>#NUM!</v>
      </c>
      <c r="V40" s="25" t="str">
        <f t="shared" si="11"/>
        <v/>
      </c>
      <c r="W40" s="8" t="str">
        <f t="shared" si="12"/>
        <v/>
      </c>
    </row>
    <row r="41" spans="1:23" x14ac:dyDescent="0.25">
      <c r="A41" s="24">
        <v>1</v>
      </c>
      <c r="B41" s="53" t="str">
        <f>IF(styles!Q64&lt;&gt;"",styles!Q64,"")</f>
        <v/>
      </c>
      <c r="C41" s="53" t="str">
        <f t="shared" si="57"/>
        <v/>
      </c>
      <c r="D41" s="53">
        <f>SMALL($C$41:$C$53,A41)</f>
        <v>3</v>
      </c>
      <c r="E41" s="53" t="str">
        <f>IF(ISERROR(D41),"",VLOOKUP(D41,$A$41:$B$53,2))</f>
        <v>Greater Luck</v>
      </c>
      <c r="F41" s="53"/>
      <c r="G41">
        <v>4</v>
      </c>
      <c r="H41" s="53" t="str">
        <f>IF(builder!G121&lt;&gt;"",builder!G121,IF(AND(builder!B129&lt;&gt;"",OR(builder!$B$112=builder!$AB$133,builder!$B$112=builder!$AC$133)),builder!B129,""))</f>
        <v/>
      </c>
      <c r="I41" s="53" t="str">
        <f t="shared" si="68"/>
        <v/>
      </c>
      <c r="J41" s="53" t="e">
        <f t="shared" si="69"/>
        <v>#NUM!</v>
      </c>
      <c r="K41" s="53" t="str">
        <f t="shared" si="70"/>
        <v/>
      </c>
      <c r="L41" s="24"/>
      <c r="M41" s="24"/>
      <c r="N41" s="24"/>
      <c r="Q41" s="6">
        <f t="shared" si="15"/>
        <v>40</v>
      </c>
      <c r="R41" s="52" t="str">
        <f t="shared" si="67"/>
        <v/>
      </c>
      <c r="S41" s="52" t="str">
        <f>print!B138</f>
        <v/>
      </c>
      <c r="T41" s="25" t="str">
        <f t="shared" si="66"/>
        <v/>
      </c>
      <c r="U41" s="25" t="e">
        <f t="shared" si="10"/>
        <v>#NUM!</v>
      </c>
      <c r="V41" s="25" t="str">
        <f t="shared" si="11"/>
        <v/>
      </c>
      <c r="W41" s="8" t="str">
        <f t="shared" si="12"/>
        <v/>
      </c>
    </row>
    <row r="42" spans="1:23" x14ac:dyDescent="0.25">
      <c r="A42" s="24">
        <v>2</v>
      </c>
      <c r="B42" s="53" t="str">
        <f>IF(styles!Q65&lt;&gt;"",styles!Q65,"")</f>
        <v/>
      </c>
      <c r="C42" s="53" t="str">
        <f t="shared" si="57"/>
        <v/>
      </c>
      <c r="D42" s="53">
        <f t="shared" ref="D42:D53" si="71">SMALL($C$41:$C$53,A42)</f>
        <v>4</v>
      </c>
      <c r="E42" s="53" t="str">
        <f t="shared" ref="E42:E53" si="72">IF(ISERROR(D42),"",VLOOKUP(D42,$A$41:$B$53,2))</f>
        <v>Heroic</v>
      </c>
      <c r="F42" s="53"/>
      <c r="G42">
        <v>5</v>
      </c>
      <c r="H42" s="53" t="str">
        <f>IF(builder!G122&lt;&gt;"",builder!G122,IF(AND(builder!B130&lt;&gt;"",OR(builder!$B$112=builder!$AB$133,builder!$B$112=builder!$AC$133)),builder!B130,""))</f>
        <v/>
      </c>
      <c r="I42" s="53" t="str">
        <f t="shared" si="68"/>
        <v/>
      </c>
      <c r="J42" s="53" t="e">
        <f t="shared" si="69"/>
        <v>#NUM!</v>
      </c>
      <c r="K42" s="53" t="str">
        <f t="shared" si="70"/>
        <v/>
      </c>
      <c r="L42" s="24"/>
      <c r="M42" s="24"/>
      <c r="N42" s="24"/>
      <c r="Q42" s="6">
        <f t="shared" si="15"/>
        <v>41</v>
      </c>
      <c r="R42" s="52" t="str">
        <f t="shared" si="67"/>
        <v/>
      </c>
      <c r="S42" s="52" t="str">
        <f>print!B140</f>
        <v/>
      </c>
      <c r="T42" s="25" t="str">
        <f t="shared" si="66"/>
        <v/>
      </c>
      <c r="U42" s="25" t="e">
        <f t="shared" si="10"/>
        <v>#NUM!</v>
      </c>
      <c r="V42" s="25" t="str">
        <f t="shared" si="11"/>
        <v/>
      </c>
      <c r="W42" s="8" t="str">
        <f t="shared" si="12"/>
        <v/>
      </c>
    </row>
    <row r="43" spans="1:23" x14ac:dyDescent="0.25">
      <c r="A43" s="24">
        <v>3</v>
      </c>
      <c r="B43" s="53" t="str">
        <f>IF(styles!Q66&lt;&gt;"",styles!Q66,"")</f>
        <v>Greater Luck</v>
      </c>
      <c r="C43" s="53">
        <f t="shared" si="57"/>
        <v>3</v>
      </c>
      <c r="D43" s="53">
        <f t="shared" si="71"/>
        <v>8</v>
      </c>
      <c r="E43" s="53" t="str">
        <f t="shared" si="72"/>
        <v>Petty Luck</v>
      </c>
      <c r="F43" s="53"/>
      <c r="G43">
        <v>6</v>
      </c>
      <c r="H43" s="53" t="str">
        <f>IF(builder!G123&lt;&gt;"",builder!G123,IF(AND(builder!B131&lt;&gt;"",OR(builder!$B$112=builder!$AB$133,builder!$B$112=builder!$AC$133)),builder!B131,""))</f>
        <v/>
      </c>
      <c r="I43" s="53" t="str">
        <f t="shared" si="68"/>
        <v/>
      </c>
      <c r="J43" s="53" t="e">
        <f t="shared" si="69"/>
        <v>#NUM!</v>
      </c>
      <c r="K43" s="53" t="str">
        <f t="shared" si="70"/>
        <v/>
      </c>
      <c r="L43" s="24"/>
      <c r="M43" s="24"/>
      <c r="N43" s="24"/>
      <c r="Q43" s="6">
        <f t="shared" si="15"/>
        <v>42</v>
      </c>
      <c r="R43" s="53" t="str">
        <f>K38</f>
        <v/>
      </c>
      <c r="S43" s="53" t="str">
        <f>print!B154</f>
        <v/>
      </c>
      <c r="T43" s="25" t="str">
        <f t="shared" si="66"/>
        <v/>
      </c>
      <c r="U43" s="25" t="e">
        <f t="shared" si="10"/>
        <v>#NUM!</v>
      </c>
      <c r="V43" s="25" t="str">
        <f t="shared" si="11"/>
        <v/>
      </c>
      <c r="W43" s="8" t="str">
        <f t="shared" si="12"/>
        <v/>
      </c>
    </row>
    <row r="44" spans="1:23" x14ac:dyDescent="0.25">
      <c r="A44" s="24">
        <v>4</v>
      </c>
      <c r="B44" s="53" t="str">
        <f>IF(styles!Q67&lt;&gt;"",styles!Q67,"")</f>
        <v>Heroic</v>
      </c>
      <c r="C44" s="53">
        <f t="shared" si="57"/>
        <v>4</v>
      </c>
      <c r="D44" s="53" t="e">
        <f t="shared" si="71"/>
        <v>#NUM!</v>
      </c>
      <c r="E44" s="53" t="str">
        <f t="shared" si="72"/>
        <v/>
      </c>
      <c r="F44" s="53"/>
      <c r="G44">
        <v>7</v>
      </c>
      <c r="H44" s="53" t="str">
        <f>IF(builder!G124&lt;&gt;"",builder!G124,IF(AND(builder!B132&lt;&gt;"",OR(builder!$B$112=builder!$AB$133,builder!$B$112=builder!$AC$133)),builder!B132,""))</f>
        <v/>
      </c>
      <c r="I44" s="53" t="str">
        <f t="shared" si="68"/>
        <v/>
      </c>
      <c r="J44" s="53" t="e">
        <f t="shared" si="69"/>
        <v>#NUM!</v>
      </c>
      <c r="K44" s="53" t="str">
        <f t="shared" si="70"/>
        <v/>
      </c>
      <c r="L44" s="24"/>
      <c r="M44" s="24"/>
      <c r="N44" s="24"/>
      <c r="Q44" s="6">
        <f t="shared" si="15"/>
        <v>43</v>
      </c>
      <c r="R44" s="53" t="str">
        <f t="shared" ref="R44:R56" si="73">K39</f>
        <v/>
      </c>
      <c r="S44" s="53" t="str">
        <f>print!B156</f>
        <v/>
      </c>
      <c r="T44" s="25" t="str">
        <f t="shared" si="66"/>
        <v/>
      </c>
      <c r="U44" s="25" t="e">
        <f t="shared" si="10"/>
        <v>#NUM!</v>
      </c>
      <c r="V44" s="25" t="str">
        <f t="shared" si="11"/>
        <v/>
      </c>
      <c r="W44" s="8" t="str">
        <f t="shared" si="12"/>
        <v/>
      </c>
    </row>
    <row r="45" spans="1:23" x14ac:dyDescent="0.25">
      <c r="A45">
        <v>5</v>
      </c>
      <c r="B45" s="53" t="str">
        <f>IF(styles!Q68&lt;&gt;"",styles!Q68,"")</f>
        <v/>
      </c>
      <c r="C45" s="53" t="str">
        <f t="shared" si="57"/>
        <v/>
      </c>
      <c r="D45" s="53" t="e">
        <f t="shared" si="71"/>
        <v>#NUM!</v>
      </c>
      <c r="E45" s="53" t="str">
        <f t="shared" si="72"/>
        <v/>
      </c>
      <c r="F45" s="53"/>
      <c r="G45">
        <v>8</v>
      </c>
      <c r="H45" s="53" t="str">
        <f>IF(builder!G125&lt;&gt;"",builder!G125,IF(AND(builder!B133&lt;&gt;"",OR(builder!$B$112=builder!$AB$133,builder!$B$112=builder!$AC$133)),builder!B133,""))</f>
        <v/>
      </c>
      <c r="I45" s="53" t="str">
        <f t="shared" si="68"/>
        <v/>
      </c>
      <c r="J45" s="53" t="e">
        <f t="shared" si="69"/>
        <v>#NUM!</v>
      </c>
      <c r="K45" s="53" t="str">
        <f t="shared" si="70"/>
        <v/>
      </c>
      <c r="L45" s="24"/>
      <c r="M45" s="24"/>
      <c r="N45" s="24"/>
      <c r="Q45" s="6">
        <f t="shared" si="15"/>
        <v>44</v>
      </c>
      <c r="R45" s="53" t="str">
        <f t="shared" si="73"/>
        <v/>
      </c>
      <c r="S45" s="53" t="str">
        <f>print!B158</f>
        <v/>
      </c>
      <c r="T45" s="25" t="str">
        <f t="shared" si="66"/>
        <v/>
      </c>
      <c r="U45" s="25" t="e">
        <f t="shared" si="10"/>
        <v>#NUM!</v>
      </c>
      <c r="V45" s="25" t="str">
        <f t="shared" si="11"/>
        <v/>
      </c>
      <c r="W45" s="8" t="str">
        <f t="shared" si="12"/>
        <v/>
      </c>
    </row>
    <row r="46" spans="1:23" x14ac:dyDescent="0.25">
      <c r="A46">
        <v>6</v>
      </c>
      <c r="B46" s="53" t="str">
        <f>IF(styles!Q69&lt;&gt;"",styles!Q69,"")</f>
        <v/>
      </c>
      <c r="C46" s="53" t="str">
        <f t="shared" si="57"/>
        <v/>
      </c>
      <c r="D46" s="53" t="e">
        <f t="shared" si="71"/>
        <v>#NUM!</v>
      </c>
      <c r="E46" s="53" t="str">
        <f t="shared" si="72"/>
        <v/>
      </c>
      <c r="F46" s="53"/>
      <c r="G46">
        <v>9</v>
      </c>
      <c r="H46" s="53" t="str">
        <f>IF(builder!G126&lt;&gt;"",builder!G126,IF(AND(builder!B134&lt;&gt;"",OR(builder!$B$112=builder!$AB$133,builder!$B$112=builder!$AC$133)),builder!B134,""))</f>
        <v/>
      </c>
      <c r="I46" s="53" t="str">
        <f t="shared" si="68"/>
        <v/>
      </c>
      <c r="J46" s="53" t="e">
        <f t="shared" si="69"/>
        <v>#NUM!</v>
      </c>
      <c r="K46" s="53" t="str">
        <f t="shared" si="70"/>
        <v/>
      </c>
      <c r="L46" s="24"/>
      <c r="M46" s="24"/>
      <c r="N46" s="24"/>
      <c r="Q46" s="6">
        <f t="shared" si="15"/>
        <v>45</v>
      </c>
      <c r="R46" s="53" t="str">
        <f t="shared" si="73"/>
        <v/>
      </c>
      <c r="S46" s="53" t="str">
        <f>print!B160</f>
        <v/>
      </c>
      <c r="T46" s="25" t="str">
        <f t="shared" si="66"/>
        <v/>
      </c>
      <c r="U46" s="25" t="e">
        <f t="shared" si="10"/>
        <v>#NUM!</v>
      </c>
      <c r="V46" s="25" t="str">
        <f t="shared" si="11"/>
        <v/>
      </c>
      <c r="W46" s="8" t="str">
        <f t="shared" si="12"/>
        <v/>
      </c>
    </row>
    <row r="47" spans="1:23" x14ac:dyDescent="0.25">
      <c r="A47">
        <v>7</v>
      </c>
      <c r="B47" s="53" t="str">
        <f>IF(styles!Q70&lt;&gt;"",styles!Q70,"")</f>
        <v/>
      </c>
      <c r="C47" s="53" t="str">
        <f t="shared" si="57"/>
        <v/>
      </c>
      <c r="D47" s="53" t="e">
        <f t="shared" si="71"/>
        <v>#NUM!</v>
      </c>
      <c r="E47" s="53" t="str">
        <f t="shared" si="72"/>
        <v/>
      </c>
      <c r="F47" s="53"/>
      <c r="G47">
        <v>10</v>
      </c>
      <c r="H47" s="53" t="str">
        <f>IF(builder!G127&lt;&gt;"",builder!G127,IF(AND(builder!B135&lt;&gt;"",OR(builder!$B$112=builder!$AB$133,builder!$B$112=builder!$AC$133)),builder!B135,""))</f>
        <v/>
      </c>
      <c r="I47" s="53" t="str">
        <f t="shared" si="68"/>
        <v/>
      </c>
      <c r="J47" s="53" t="e">
        <f t="shared" si="69"/>
        <v>#NUM!</v>
      </c>
      <c r="K47" s="53" t="str">
        <f t="shared" si="70"/>
        <v/>
      </c>
      <c r="L47" s="24"/>
      <c r="M47" s="24"/>
      <c r="N47" s="24"/>
      <c r="Q47" s="6">
        <f t="shared" si="15"/>
        <v>46</v>
      </c>
      <c r="R47" s="53" t="str">
        <f t="shared" si="73"/>
        <v/>
      </c>
      <c r="S47" s="53" t="str">
        <f>print!B162</f>
        <v/>
      </c>
      <c r="T47" s="25" t="str">
        <f t="shared" si="66"/>
        <v/>
      </c>
      <c r="U47" s="25" t="e">
        <f t="shared" si="10"/>
        <v>#NUM!</v>
      </c>
      <c r="V47" s="25" t="str">
        <f t="shared" si="11"/>
        <v/>
      </c>
      <c r="W47" s="8" t="str">
        <f t="shared" si="12"/>
        <v/>
      </c>
    </row>
    <row r="48" spans="1:23" x14ac:dyDescent="0.25">
      <c r="A48">
        <v>8</v>
      </c>
      <c r="B48" s="53" t="str">
        <f>IF(styles!Q71&lt;&gt;"",styles!Q71,"")</f>
        <v>Petty Luck</v>
      </c>
      <c r="C48" s="53">
        <f t="shared" si="57"/>
        <v>8</v>
      </c>
      <c r="D48" s="53" t="e">
        <f t="shared" si="71"/>
        <v>#NUM!</v>
      </c>
      <c r="E48" s="53" t="str">
        <f t="shared" si="72"/>
        <v/>
      </c>
      <c r="F48" s="53"/>
      <c r="G48">
        <v>11</v>
      </c>
      <c r="H48" s="53" t="str">
        <f>IF(builder!G128&lt;&gt;"",builder!G128,IF(AND(builder!B136&lt;&gt;"",OR(builder!$B$112=builder!$AB$133,builder!$B$112=builder!$AC$133)),builder!B136,""))</f>
        <v/>
      </c>
      <c r="I48" s="53" t="str">
        <f t="shared" si="68"/>
        <v/>
      </c>
      <c r="J48" s="53" t="e">
        <f t="shared" si="69"/>
        <v>#NUM!</v>
      </c>
      <c r="K48" s="53" t="str">
        <f t="shared" si="70"/>
        <v/>
      </c>
      <c r="L48" s="24"/>
      <c r="M48" s="24"/>
      <c r="Q48" s="6">
        <f t="shared" si="15"/>
        <v>47</v>
      </c>
      <c r="R48" s="53" t="str">
        <f t="shared" si="73"/>
        <v/>
      </c>
      <c r="S48" s="53" t="str">
        <f>print!B164</f>
        <v/>
      </c>
      <c r="T48" s="25" t="str">
        <f t="shared" si="66"/>
        <v/>
      </c>
      <c r="U48" s="25" t="e">
        <f t="shared" si="10"/>
        <v>#NUM!</v>
      </c>
      <c r="V48" s="25" t="str">
        <f t="shared" si="11"/>
        <v/>
      </c>
      <c r="W48" s="8" t="str">
        <f t="shared" si="12"/>
        <v/>
      </c>
    </row>
    <row r="49" spans="1:23" x14ac:dyDescent="0.25">
      <c r="A49">
        <v>9</v>
      </c>
      <c r="B49" s="53" t="str">
        <f>IF(styles!Q72&lt;&gt;"",styles!Q72,"")</f>
        <v/>
      </c>
      <c r="C49" s="53" t="str">
        <f t="shared" si="57"/>
        <v/>
      </c>
      <c r="D49" s="53" t="e">
        <f t="shared" si="71"/>
        <v>#NUM!</v>
      </c>
      <c r="E49" s="53" t="str">
        <f t="shared" si="72"/>
        <v/>
      </c>
      <c r="F49" s="53"/>
      <c r="G49">
        <v>12</v>
      </c>
      <c r="H49" s="53" t="str">
        <f>IF(builder!G129&lt;&gt;"",builder!G129,IF(AND(builder!B137&lt;&gt;"",OR(builder!$B$112=builder!$AB$133,builder!$B$112=builder!$AC$133)),builder!B137,""))</f>
        <v/>
      </c>
      <c r="I49" s="53" t="str">
        <f t="shared" si="68"/>
        <v/>
      </c>
      <c r="J49" s="53" t="e">
        <f t="shared" si="69"/>
        <v>#NUM!</v>
      </c>
      <c r="K49" s="53" t="str">
        <f t="shared" si="70"/>
        <v/>
      </c>
      <c r="L49" s="24"/>
      <c r="M49" s="24"/>
      <c r="Q49" s="6">
        <f t="shared" si="15"/>
        <v>48</v>
      </c>
      <c r="R49" s="53" t="str">
        <f t="shared" si="73"/>
        <v/>
      </c>
      <c r="S49" s="53" t="str">
        <f>print!B166</f>
        <v/>
      </c>
      <c r="T49" s="25" t="str">
        <f t="shared" si="66"/>
        <v/>
      </c>
      <c r="U49" s="25" t="e">
        <f t="shared" si="10"/>
        <v>#NUM!</v>
      </c>
      <c r="V49" s="25" t="str">
        <f t="shared" si="11"/>
        <v/>
      </c>
      <c r="W49" s="8" t="str">
        <f t="shared" si="12"/>
        <v/>
      </c>
    </row>
    <row r="50" spans="1:23" x14ac:dyDescent="0.25">
      <c r="A50">
        <v>10</v>
      </c>
      <c r="B50" s="53" t="str">
        <f>IF(styles!Q73&lt;&gt;"",styles!Q73,"")</f>
        <v/>
      </c>
      <c r="C50" s="53" t="str">
        <f t="shared" si="57"/>
        <v/>
      </c>
      <c r="D50" s="53" t="e">
        <f t="shared" si="71"/>
        <v>#NUM!</v>
      </c>
      <c r="E50" s="53" t="str">
        <f t="shared" si="72"/>
        <v/>
      </c>
      <c r="F50" s="53"/>
      <c r="G50">
        <v>13</v>
      </c>
      <c r="H50" s="53" t="str">
        <f>IF(builder!G130&lt;&gt;"",builder!G130,IF(AND(builder!B138&lt;&gt;"",OR(builder!$B$112=builder!$AB$133,builder!$B$112=builder!$AC$133)),builder!B138,""))</f>
        <v/>
      </c>
      <c r="I50" s="53" t="str">
        <f t="shared" si="68"/>
        <v/>
      </c>
      <c r="J50" s="53" t="e">
        <f t="shared" si="69"/>
        <v>#NUM!</v>
      </c>
      <c r="K50" s="53" t="str">
        <f t="shared" si="70"/>
        <v/>
      </c>
      <c r="L50" s="24"/>
      <c r="M50" s="24"/>
      <c r="Q50" s="6">
        <f t="shared" si="15"/>
        <v>49</v>
      </c>
      <c r="R50" s="53" t="str">
        <f t="shared" si="73"/>
        <v/>
      </c>
      <c r="S50" s="53" t="str">
        <f>print!B168</f>
        <v/>
      </c>
      <c r="T50" s="25" t="str">
        <f t="shared" si="66"/>
        <v/>
      </c>
      <c r="U50" s="25" t="e">
        <f t="shared" si="10"/>
        <v>#NUM!</v>
      </c>
      <c r="V50" s="25" t="str">
        <f t="shared" si="11"/>
        <v/>
      </c>
      <c r="W50" s="8" t="str">
        <f t="shared" si="12"/>
        <v/>
      </c>
    </row>
    <row r="51" spans="1:23" x14ac:dyDescent="0.25">
      <c r="A51" s="185">
        <v>11</v>
      </c>
      <c r="B51" s="53" t="str">
        <f>IF(styles!Q74&lt;&gt;"",styles!Q74,"")</f>
        <v/>
      </c>
      <c r="C51" s="53" t="str">
        <f t="shared" ref="C51:C52" si="74">IF(B51&lt;&gt;"",A51,"")</f>
        <v/>
      </c>
      <c r="D51" s="53" t="e">
        <f t="shared" si="71"/>
        <v>#NUM!</v>
      </c>
      <c r="E51" s="53" t="str">
        <f t="shared" si="72"/>
        <v/>
      </c>
      <c r="F51" s="53"/>
      <c r="G51" s="24">
        <v>14</v>
      </c>
      <c r="H51" s="53" t="str">
        <f>IF(builder!G131&lt;&gt;"",builder!G131,IF(AND(builder!B139&lt;&gt;"",OR(builder!$B$112=builder!$AB$133,builder!$B$112=builder!$AC$133)),builder!B139,""))</f>
        <v/>
      </c>
      <c r="I51" s="53" t="str">
        <f t="shared" ref="I51" si="75">IF(H51&lt;&gt;"",G51,"")</f>
        <v/>
      </c>
      <c r="J51" s="53" t="e">
        <f t="shared" si="69"/>
        <v>#NUM!</v>
      </c>
      <c r="K51" s="53" t="str">
        <f t="shared" si="70"/>
        <v/>
      </c>
      <c r="L51" s="24"/>
      <c r="M51" s="24"/>
      <c r="Q51" s="6">
        <f t="shared" si="15"/>
        <v>50</v>
      </c>
      <c r="R51" s="53" t="str">
        <f t="shared" si="73"/>
        <v/>
      </c>
      <c r="S51" s="53" t="str">
        <f>print!B170</f>
        <v/>
      </c>
      <c r="T51" s="25" t="str">
        <f t="shared" si="66"/>
        <v/>
      </c>
      <c r="U51" s="25" t="e">
        <f t="shared" si="10"/>
        <v>#NUM!</v>
      </c>
      <c r="V51" s="25" t="str">
        <f t="shared" si="11"/>
        <v/>
      </c>
      <c r="W51" s="8" t="str">
        <f t="shared" si="12"/>
        <v/>
      </c>
    </row>
    <row r="52" spans="1:23" x14ac:dyDescent="0.25">
      <c r="A52" s="185">
        <v>12</v>
      </c>
      <c r="B52" s="53" t="str">
        <f>IF(styles!Q75&lt;&gt;"",styles!Q75,"")</f>
        <v/>
      </c>
      <c r="C52" s="53" t="str">
        <f t="shared" si="74"/>
        <v/>
      </c>
      <c r="D52" s="53" t="e">
        <f t="shared" si="71"/>
        <v>#NUM!</v>
      </c>
      <c r="E52" s="53" t="str">
        <f t="shared" si="72"/>
        <v/>
      </c>
      <c r="F52" s="53"/>
      <c r="H52" s="24"/>
      <c r="I52" s="24"/>
      <c r="J52" s="24"/>
      <c r="K52" s="24"/>
      <c r="L52" s="24"/>
      <c r="M52" s="24"/>
      <c r="Q52" s="6">
        <f t="shared" si="15"/>
        <v>51</v>
      </c>
      <c r="R52" s="53" t="str">
        <f t="shared" si="73"/>
        <v/>
      </c>
      <c r="S52" s="53" t="str">
        <f>print!B172</f>
        <v/>
      </c>
      <c r="T52" s="25" t="str">
        <f t="shared" si="66"/>
        <v/>
      </c>
      <c r="U52" s="25" t="e">
        <f t="shared" si="10"/>
        <v>#NUM!</v>
      </c>
      <c r="V52" s="25" t="str">
        <f t="shared" si="11"/>
        <v/>
      </c>
      <c r="W52" s="8" t="str">
        <f t="shared" si="12"/>
        <v/>
      </c>
    </row>
    <row r="53" spans="1:23" x14ac:dyDescent="0.25">
      <c r="A53" s="185">
        <v>13</v>
      </c>
      <c r="B53" s="53" t="str">
        <f>IF(styles!Q76&lt;&gt;"",styles!Q76,"")</f>
        <v/>
      </c>
      <c r="C53" s="53" t="str">
        <f>IF(B53&lt;&gt;"",A53,"")</f>
        <v/>
      </c>
      <c r="D53" s="53" t="e">
        <f t="shared" si="71"/>
        <v>#NUM!</v>
      </c>
      <c r="E53" s="53" t="str">
        <f t="shared" si="72"/>
        <v/>
      </c>
      <c r="F53" s="53"/>
      <c r="Q53" s="6">
        <f t="shared" si="15"/>
        <v>52</v>
      </c>
      <c r="R53" s="53" t="str">
        <f t="shared" si="73"/>
        <v/>
      </c>
      <c r="S53" s="53" t="str">
        <f>print!B174</f>
        <v/>
      </c>
      <c r="T53" s="25" t="str">
        <f t="shared" si="66"/>
        <v/>
      </c>
      <c r="U53" s="25" t="e">
        <f t="shared" si="10"/>
        <v>#NUM!</v>
      </c>
      <c r="V53" s="25" t="str">
        <f t="shared" si="11"/>
        <v/>
      </c>
      <c r="W53" s="8" t="str">
        <f t="shared" si="12"/>
        <v/>
      </c>
    </row>
    <row r="54" spans="1:23" x14ac:dyDescent="0.25">
      <c r="Q54" s="6">
        <f t="shared" si="15"/>
        <v>53</v>
      </c>
      <c r="R54" s="53" t="str">
        <f t="shared" si="73"/>
        <v/>
      </c>
      <c r="S54" s="53" t="str">
        <f>print!B176</f>
        <v/>
      </c>
      <c r="T54" s="25" t="str">
        <f t="shared" si="66"/>
        <v/>
      </c>
      <c r="U54" s="25" t="e">
        <f t="shared" si="10"/>
        <v>#NUM!</v>
      </c>
      <c r="V54" s="25" t="str">
        <f t="shared" si="11"/>
        <v/>
      </c>
      <c r="W54" s="8" t="str">
        <f t="shared" si="12"/>
        <v/>
      </c>
    </row>
    <row r="55" spans="1:23" x14ac:dyDescent="0.25">
      <c r="Q55" s="6">
        <f t="shared" si="15"/>
        <v>54</v>
      </c>
      <c r="R55" s="53" t="str">
        <f t="shared" si="73"/>
        <v/>
      </c>
      <c r="S55" s="53" t="str">
        <f>print!B178</f>
        <v/>
      </c>
      <c r="T55" s="25" t="str">
        <f t="shared" si="66"/>
        <v/>
      </c>
      <c r="U55" s="25" t="e">
        <f t="shared" si="10"/>
        <v>#NUM!</v>
      </c>
      <c r="V55" s="25" t="str">
        <f t="shared" si="11"/>
        <v/>
      </c>
      <c r="W55" s="8" t="str">
        <f t="shared" si="12"/>
        <v/>
      </c>
    </row>
    <row r="56" spans="1:23" x14ac:dyDescent="0.25">
      <c r="Q56" s="166">
        <f t="shared" si="15"/>
        <v>55</v>
      </c>
      <c r="R56" s="177" t="str">
        <f t="shared" si="73"/>
        <v/>
      </c>
      <c r="S56" s="177" t="str">
        <f>print!B180</f>
        <v/>
      </c>
      <c r="T56" s="10" t="str">
        <f t="shared" si="66"/>
        <v/>
      </c>
      <c r="U56" s="10" t="e">
        <f t="shared" si="10"/>
        <v>#NUM!</v>
      </c>
      <c r="V56" s="10" t="str">
        <f t="shared" si="11"/>
        <v/>
      </c>
      <c r="W56" s="167" t="str">
        <f t="shared" si="12"/>
        <v/>
      </c>
    </row>
  </sheetData>
  <sortState ref="I10:I24">
    <sortCondition ref="I1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61"/>
  <sheetViews>
    <sheetView topLeftCell="A31" workbookViewId="0">
      <selection activeCell="T44" sqref="T44"/>
    </sheetView>
    <sheetView workbookViewId="1"/>
    <sheetView workbookViewId="2"/>
  </sheetViews>
  <sheetFormatPr defaultRowHeight="15" x14ac:dyDescent="0.25"/>
  <cols>
    <col min="3" max="3" width="9.140625" style="24"/>
    <col min="4" max="4" width="10.7109375" customWidth="1"/>
    <col min="7" max="7" width="12.28515625" customWidth="1"/>
  </cols>
  <sheetData>
    <row r="2" spans="2:6" s="24" customFormat="1" x14ac:dyDescent="0.25">
      <c r="B2" s="1" t="s">
        <v>617</v>
      </c>
    </row>
    <row r="3" spans="2:6" x14ac:dyDescent="0.25">
      <c r="B3" t="s">
        <v>582</v>
      </c>
      <c r="C3" s="24" t="s">
        <v>585</v>
      </c>
      <c r="D3" t="s">
        <v>583</v>
      </c>
    </row>
    <row r="4" spans="2:6" x14ac:dyDescent="0.25">
      <c r="B4" t="s">
        <v>584</v>
      </c>
      <c r="C4" s="24" t="s">
        <v>586</v>
      </c>
      <c r="D4" t="s">
        <v>587</v>
      </c>
    </row>
    <row r="5" spans="2:6" x14ac:dyDescent="0.25">
      <c r="B5" t="s">
        <v>607</v>
      </c>
      <c r="C5" t="s">
        <v>588</v>
      </c>
      <c r="D5" s="24" t="s">
        <v>589</v>
      </c>
    </row>
    <row r="6" spans="2:6" s="192" customFormat="1" x14ac:dyDescent="0.25">
      <c r="B6" s="209" t="s">
        <v>1182</v>
      </c>
      <c r="C6" s="246" t="s">
        <v>1230</v>
      </c>
      <c r="D6" s="246" t="s">
        <v>1231</v>
      </c>
      <c r="E6" s="246"/>
      <c r="F6" s="246"/>
    </row>
    <row r="7" spans="2:6" s="226" customFormat="1" x14ac:dyDescent="0.25">
      <c r="B7" s="251" t="s">
        <v>1515</v>
      </c>
      <c r="C7" s="246" t="s">
        <v>1516</v>
      </c>
      <c r="D7" s="246" t="s">
        <v>1775</v>
      </c>
      <c r="E7" s="246"/>
      <c r="F7" s="246"/>
    </row>
    <row r="8" spans="2:6" x14ac:dyDescent="0.25">
      <c r="B8" t="s">
        <v>608</v>
      </c>
      <c r="C8" s="246" t="s">
        <v>590</v>
      </c>
      <c r="D8" s="246" t="s">
        <v>591</v>
      </c>
      <c r="E8" s="246"/>
      <c r="F8" s="246"/>
    </row>
    <row r="9" spans="2:6" x14ac:dyDescent="0.25">
      <c r="B9" s="24" t="s">
        <v>609</v>
      </c>
      <c r="C9" s="246" t="s">
        <v>592</v>
      </c>
      <c r="D9" s="246" t="s">
        <v>817</v>
      </c>
      <c r="E9" s="246"/>
      <c r="F9" s="246"/>
    </row>
    <row r="10" spans="2:6" x14ac:dyDescent="0.25">
      <c r="B10" t="s">
        <v>610</v>
      </c>
      <c r="C10" s="246" t="s">
        <v>593</v>
      </c>
      <c r="D10" s="246" t="s">
        <v>594</v>
      </c>
      <c r="E10" s="246"/>
      <c r="F10" s="246"/>
    </row>
    <row r="11" spans="2:6" s="226" customFormat="1" x14ac:dyDescent="0.25">
      <c r="B11" s="251" t="s">
        <v>1536</v>
      </c>
      <c r="C11" s="246" t="s">
        <v>1537</v>
      </c>
      <c r="D11" s="246" t="s">
        <v>1538</v>
      </c>
      <c r="E11" s="246"/>
      <c r="F11" s="246"/>
    </row>
    <row r="12" spans="2:6" s="192" customFormat="1" x14ac:dyDescent="0.25">
      <c r="B12" s="210" t="s">
        <v>1183</v>
      </c>
      <c r="C12" s="246" t="s">
        <v>1232</v>
      </c>
      <c r="D12" s="246" t="s">
        <v>1237</v>
      </c>
      <c r="E12" s="246"/>
      <c r="F12" s="246"/>
    </row>
    <row r="13" spans="2:6" s="233" customFormat="1" x14ac:dyDescent="0.25">
      <c r="B13" s="251" t="s">
        <v>1727</v>
      </c>
      <c r="C13" s="246" t="s">
        <v>1728</v>
      </c>
      <c r="D13" s="246" t="s">
        <v>1729</v>
      </c>
      <c r="E13" s="246"/>
      <c r="F13" s="246"/>
    </row>
    <row r="14" spans="2:6" s="233" customFormat="1" x14ac:dyDescent="0.25">
      <c r="B14" s="251" t="s">
        <v>1733</v>
      </c>
      <c r="C14" s="246" t="s">
        <v>1734</v>
      </c>
      <c r="D14" s="246" t="s">
        <v>1735</v>
      </c>
      <c r="E14" s="246"/>
      <c r="F14" s="246"/>
    </row>
    <row r="15" spans="2:6" s="192" customFormat="1" x14ac:dyDescent="0.25">
      <c r="B15" s="210" t="s">
        <v>1184</v>
      </c>
      <c r="C15" s="246" t="s">
        <v>1233</v>
      </c>
      <c r="D15" s="246" t="e">
        <f>CONCATENATE(C31,VLOOKUP(builder!I109,styles!B32:C34,2))</f>
        <v>#N/A</v>
      </c>
      <c r="E15" s="246"/>
      <c r="F15" s="246"/>
    </row>
    <row r="16" spans="2:6" s="233" customFormat="1" x14ac:dyDescent="0.25">
      <c r="B16" s="251" t="s">
        <v>1725</v>
      </c>
      <c r="C16" s="246" t="s">
        <v>1726</v>
      </c>
      <c r="D16" s="246" t="s">
        <v>1776</v>
      </c>
      <c r="E16" s="246"/>
      <c r="F16" s="246"/>
    </row>
    <row r="17" spans="2:6" x14ac:dyDescent="0.25">
      <c r="B17" t="s">
        <v>611</v>
      </c>
      <c r="C17" s="246" t="s">
        <v>595</v>
      </c>
      <c r="D17" s="246" t="s">
        <v>596</v>
      </c>
      <c r="E17" s="246"/>
      <c r="F17" s="246"/>
    </row>
    <row r="18" spans="2:6" x14ac:dyDescent="0.25">
      <c r="B18" t="s">
        <v>612</v>
      </c>
      <c r="C18" s="246" t="s">
        <v>597</v>
      </c>
      <c r="D18" s="246" t="s">
        <v>598</v>
      </c>
      <c r="E18" s="246"/>
      <c r="F18" s="246"/>
    </row>
    <row r="19" spans="2:6" x14ac:dyDescent="0.25">
      <c r="B19" t="s">
        <v>613</v>
      </c>
      <c r="C19" s="246" t="s">
        <v>600</v>
      </c>
      <c r="D19" s="246" t="s">
        <v>599</v>
      </c>
      <c r="E19" s="246"/>
      <c r="F19" s="246"/>
    </row>
    <row r="20" spans="2:6" x14ac:dyDescent="0.25">
      <c r="B20" t="s">
        <v>614</v>
      </c>
      <c r="C20" s="246" t="s">
        <v>601</v>
      </c>
      <c r="D20" s="246" t="s">
        <v>602</v>
      </c>
      <c r="E20" s="246"/>
      <c r="F20" s="246"/>
    </row>
    <row r="21" spans="2:6" s="226" customFormat="1" x14ac:dyDescent="0.25">
      <c r="B21" s="251" t="s">
        <v>1490</v>
      </c>
      <c r="C21" s="246" t="s">
        <v>1491</v>
      </c>
      <c r="D21" s="246" t="s">
        <v>1492</v>
      </c>
      <c r="E21" s="246"/>
      <c r="F21" s="246"/>
    </row>
    <row r="22" spans="2:6" s="226" customFormat="1" x14ac:dyDescent="0.25">
      <c r="B22" s="251" t="s">
        <v>1512</v>
      </c>
      <c r="C22" s="246" t="s">
        <v>1513</v>
      </c>
      <c r="D22" s="246" t="s">
        <v>1514</v>
      </c>
      <c r="E22" s="246"/>
      <c r="F22" s="246"/>
    </row>
    <row r="23" spans="2:6" s="233" customFormat="1" x14ac:dyDescent="0.25">
      <c r="B23" s="251" t="s">
        <v>1730</v>
      </c>
      <c r="C23" s="246" t="s">
        <v>1731</v>
      </c>
      <c r="D23" s="246" t="s">
        <v>1732</v>
      </c>
      <c r="E23" s="246"/>
      <c r="F23" s="246"/>
    </row>
    <row r="24" spans="2:6" x14ac:dyDescent="0.25">
      <c r="B24" t="s">
        <v>615</v>
      </c>
      <c r="C24" s="246" t="s">
        <v>604</v>
      </c>
      <c r="D24" s="246" t="s">
        <v>603</v>
      </c>
      <c r="E24" s="246"/>
      <c r="F24" s="246"/>
    </row>
    <row r="25" spans="2:6" x14ac:dyDescent="0.25">
      <c r="B25" t="s">
        <v>616</v>
      </c>
      <c r="C25" s="24" t="s">
        <v>606</v>
      </c>
      <c r="D25" t="s">
        <v>605</v>
      </c>
    </row>
    <row r="27" spans="2:6" x14ac:dyDescent="0.25">
      <c r="B27" t="s">
        <v>609</v>
      </c>
      <c r="C27" s="24" t="s">
        <v>813</v>
      </c>
      <c r="D27" t="s">
        <v>818</v>
      </c>
    </row>
    <row r="28" spans="2:6" s="24" customFormat="1" x14ac:dyDescent="0.25">
      <c r="B28" s="24" t="s">
        <v>609</v>
      </c>
      <c r="C28" s="24" t="s">
        <v>814</v>
      </c>
      <c r="D28" t="s">
        <v>816</v>
      </c>
    </row>
    <row r="29" spans="2:6" s="24" customFormat="1" x14ac:dyDescent="0.25">
      <c r="B29" s="24" t="s">
        <v>609</v>
      </c>
      <c r="C29" s="24" t="s">
        <v>815</v>
      </c>
      <c r="D29" t="s">
        <v>819</v>
      </c>
    </row>
    <row r="30" spans="2:6" s="192" customFormat="1" x14ac:dyDescent="0.25"/>
    <row r="31" spans="2:6" s="192" customFormat="1" x14ac:dyDescent="0.25">
      <c r="B31" s="210" t="s">
        <v>1184</v>
      </c>
      <c r="C31" s="192" t="s">
        <v>1242</v>
      </c>
    </row>
    <row r="32" spans="2:6" s="192" customFormat="1" x14ac:dyDescent="0.25">
      <c r="B32" s="24" t="s">
        <v>1236</v>
      </c>
      <c r="C32" s="24" t="s">
        <v>1241</v>
      </c>
    </row>
    <row r="33" spans="1:17" s="24" customFormat="1" x14ac:dyDescent="0.25">
      <c r="B33" s="192" t="s">
        <v>1235</v>
      </c>
      <c r="C33" s="192" t="s">
        <v>1240</v>
      </c>
    </row>
    <row r="34" spans="1:17" s="192" customFormat="1" x14ac:dyDescent="0.25">
      <c r="B34" s="192" t="s">
        <v>1234</v>
      </c>
      <c r="C34" s="192" t="s">
        <v>1239</v>
      </c>
    </row>
    <row r="35" spans="1:17" x14ac:dyDescent="0.25">
      <c r="A35" s="24"/>
    </row>
    <row r="36" spans="1:17" x14ac:dyDescent="0.25">
      <c r="A36" s="38"/>
      <c r="B36" s="1" t="s">
        <v>618</v>
      </c>
      <c r="O36" s="1" t="s">
        <v>1774</v>
      </c>
    </row>
    <row r="37" spans="1:17" x14ac:dyDescent="0.25">
      <c r="A37" s="38"/>
      <c r="B37" s="251" t="s">
        <v>1742</v>
      </c>
      <c r="C37" s="251" t="s">
        <v>619</v>
      </c>
      <c r="D37" s="251" t="s">
        <v>1743</v>
      </c>
      <c r="E37" s="251" t="s">
        <v>1744</v>
      </c>
      <c r="F37" s="246"/>
      <c r="O37" t="s">
        <v>1852</v>
      </c>
      <c r="P37" t="s">
        <v>1883</v>
      </c>
      <c r="Q37" s="246" t="s">
        <v>1867</v>
      </c>
    </row>
    <row r="38" spans="1:17" s="233" customFormat="1" x14ac:dyDescent="0.25">
      <c r="A38" s="229"/>
      <c r="B38" s="233" t="s">
        <v>620</v>
      </c>
      <c r="C38" s="233" t="s">
        <v>619</v>
      </c>
      <c r="D38" s="233" t="s">
        <v>625</v>
      </c>
      <c r="E38" s="233" t="s">
        <v>829</v>
      </c>
      <c r="O38" s="233" t="s">
        <v>1853</v>
      </c>
      <c r="P38" s="233" t="s">
        <v>1884</v>
      </c>
      <c r="Q38" s="246" t="s">
        <v>1868</v>
      </c>
    </row>
    <row r="39" spans="1:17" x14ac:dyDescent="0.25">
      <c r="B39" t="s">
        <v>622</v>
      </c>
      <c r="C39" s="24" t="s">
        <v>619</v>
      </c>
      <c r="D39" t="s">
        <v>627</v>
      </c>
      <c r="E39" t="s">
        <v>831</v>
      </c>
      <c r="O39" t="s">
        <v>1854</v>
      </c>
      <c r="P39" t="s">
        <v>1885</v>
      </c>
      <c r="Q39" s="246" t="s">
        <v>1869</v>
      </c>
    </row>
    <row r="40" spans="1:17" s="233" customFormat="1" x14ac:dyDescent="0.25">
      <c r="B40" s="251" t="s">
        <v>1750</v>
      </c>
      <c r="C40" s="251" t="s">
        <v>619</v>
      </c>
      <c r="D40" s="251" t="s">
        <v>1745</v>
      </c>
      <c r="E40" s="251" t="s">
        <v>1816</v>
      </c>
      <c r="O40" s="233" t="s">
        <v>1855</v>
      </c>
      <c r="P40" s="233" t="s">
        <v>1886</v>
      </c>
      <c r="Q40" s="246" t="s">
        <v>1870</v>
      </c>
    </row>
    <row r="41" spans="1:17" s="233" customFormat="1" x14ac:dyDescent="0.25">
      <c r="B41" s="251" t="s">
        <v>1751</v>
      </c>
      <c r="C41" s="251" t="s">
        <v>619</v>
      </c>
      <c r="D41" s="251" t="s">
        <v>1747</v>
      </c>
      <c r="E41" s="251" t="s">
        <v>1746</v>
      </c>
      <c r="O41" s="233" t="s">
        <v>1856</v>
      </c>
      <c r="P41" s="233" t="s">
        <v>1887</v>
      </c>
      <c r="Q41" s="246" t="s">
        <v>1871</v>
      </c>
    </row>
    <row r="42" spans="1:17" x14ac:dyDescent="0.25">
      <c r="B42" t="s">
        <v>630</v>
      </c>
      <c r="C42" s="24" t="s">
        <v>619</v>
      </c>
      <c r="D42" t="s">
        <v>631</v>
      </c>
      <c r="E42" t="s">
        <v>834</v>
      </c>
      <c r="O42" t="s">
        <v>1857</v>
      </c>
      <c r="P42" t="s">
        <v>1888</v>
      </c>
      <c r="Q42" s="246" t="s">
        <v>1872</v>
      </c>
    </row>
    <row r="43" spans="1:17" x14ac:dyDescent="0.25">
      <c r="B43" t="s">
        <v>621</v>
      </c>
      <c r="C43" s="24" t="s">
        <v>619</v>
      </c>
      <c r="D43" t="s">
        <v>626</v>
      </c>
      <c r="E43" t="s">
        <v>830</v>
      </c>
      <c r="O43" t="s">
        <v>1858</v>
      </c>
      <c r="P43" t="s">
        <v>1889</v>
      </c>
      <c r="Q43" s="246" t="s">
        <v>1873</v>
      </c>
    </row>
    <row r="44" spans="1:17" x14ac:dyDescent="0.25">
      <c r="A44" s="50"/>
      <c r="B44" t="s">
        <v>623</v>
      </c>
      <c r="C44" s="24" t="s">
        <v>619</v>
      </c>
      <c r="D44" t="s">
        <v>628</v>
      </c>
      <c r="E44" t="s">
        <v>832</v>
      </c>
      <c r="O44" t="s">
        <v>54</v>
      </c>
      <c r="P44" t="s">
        <v>1890</v>
      </c>
      <c r="Q44" s="246" t="s">
        <v>1874</v>
      </c>
    </row>
    <row r="45" spans="1:17" x14ac:dyDescent="0.25">
      <c r="B45" t="s">
        <v>624</v>
      </c>
      <c r="C45" s="24" t="s">
        <v>619</v>
      </c>
      <c r="D45" t="s">
        <v>629</v>
      </c>
      <c r="E45" t="s">
        <v>833</v>
      </c>
      <c r="O45" t="s">
        <v>1859</v>
      </c>
      <c r="P45" t="s">
        <v>1891</v>
      </c>
      <c r="Q45" s="246" t="s">
        <v>1875</v>
      </c>
    </row>
    <row r="46" spans="1:17" s="233" customFormat="1" x14ac:dyDescent="0.25">
      <c r="B46" s="251" t="s">
        <v>1752</v>
      </c>
      <c r="C46" s="251" t="s">
        <v>619</v>
      </c>
      <c r="D46" s="251" t="s">
        <v>1749</v>
      </c>
      <c r="E46" s="251" t="s">
        <v>1748</v>
      </c>
      <c r="O46" s="233" t="s">
        <v>1860</v>
      </c>
      <c r="P46" s="233" t="s">
        <v>1892</v>
      </c>
      <c r="Q46" s="246" t="s">
        <v>1876</v>
      </c>
    </row>
    <row r="47" spans="1:17" x14ac:dyDescent="0.25">
      <c r="B47" s="10" t="s">
        <v>632</v>
      </c>
      <c r="C47" s="10" t="s">
        <v>619</v>
      </c>
      <c r="D47" s="10" t="s">
        <v>633</v>
      </c>
      <c r="E47" t="s">
        <v>835</v>
      </c>
      <c r="O47" t="s">
        <v>1861</v>
      </c>
      <c r="P47" t="s">
        <v>1893</v>
      </c>
      <c r="Q47" s="246" t="s">
        <v>1877</v>
      </c>
    </row>
    <row r="48" spans="1:17" x14ac:dyDescent="0.25">
      <c r="B48" t="s">
        <v>654</v>
      </c>
      <c r="C48" s="24" t="s">
        <v>660</v>
      </c>
      <c r="D48" t="s">
        <v>655</v>
      </c>
      <c r="E48" t="s">
        <v>844</v>
      </c>
      <c r="O48" t="s">
        <v>1862</v>
      </c>
      <c r="P48" t="s">
        <v>1894</v>
      </c>
      <c r="Q48" s="246" t="s">
        <v>1878</v>
      </c>
    </row>
    <row r="49" spans="2:19" x14ac:dyDescent="0.25">
      <c r="B49" t="s">
        <v>646</v>
      </c>
      <c r="C49" s="24" t="s">
        <v>660</v>
      </c>
      <c r="D49" t="s">
        <v>647</v>
      </c>
      <c r="E49" t="s">
        <v>840</v>
      </c>
      <c r="O49" t="s">
        <v>1863</v>
      </c>
      <c r="P49" t="s">
        <v>1895</v>
      </c>
      <c r="Q49" s="246" t="s">
        <v>1879</v>
      </c>
    </row>
    <row r="50" spans="2:19" x14ac:dyDescent="0.25">
      <c r="B50" t="s">
        <v>644</v>
      </c>
      <c r="C50" s="24" t="s">
        <v>660</v>
      </c>
      <c r="D50" t="s">
        <v>645</v>
      </c>
      <c r="E50" s="24" t="s">
        <v>839</v>
      </c>
      <c r="O50" t="s">
        <v>1864</v>
      </c>
      <c r="P50" t="s">
        <v>1896</v>
      </c>
      <c r="Q50" s="246" t="s">
        <v>1880</v>
      </c>
    </row>
    <row r="51" spans="2:19" x14ac:dyDescent="0.25">
      <c r="B51" t="s">
        <v>642</v>
      </c>
      <c r="C51" s="24" t="s">
        <v>660</v>
      </c>
      <c r="D51" t="s">
        <v>643</v>
      </c>
      <c r="E51" t="s">
        <v>838</v>
      </c>
      <c r="O51" t="s">
        <v>1865</v>
      </c>
      <c r="P51" t="s">
        <v>1897</v>
      </c>
      <c r="Q51" s="246" t="s">
        <v>1881</v>
      </c>
    </row>
    <row r="52" spans="2:19" x14ac:dyDescent="0.25">
      <c r="B52" t="s">
        <v>636</v>
      </c>
      <c r="C52" s="24" t="s">
        <v>660</v>
      </c>
      <c r="D52" t="s">
        <v>637</v>
      </c>
      <c r="E52" t="s">
        <v>847</v>
      </c>
      <c r="O52" t="s">
        <v>1866</v>
      </c>
      <c r="P52" t="s">
        <v>1898</v>
      </c>
      <c r="Q52" s="246" t="s">
        <v>1882</v>
      </c>
    </row>
    <row r="53" spans="2:19" x14ac:dyDescent="0.25">
      <c r="B53" t="s">
        <v>648</v>
      </c>
      <c r="C53" s="24" t="s">
        <v>660</v>
      </c>
      <c r="D53" t="s">
        <v>649</v>
      </c>
      <c r="E53" t="s">
        <v>841</v>
      </c>
    </row>
    <row r="54" spans="2:19" x14ac:dyDescent="0.25">
      <c r="B54" t="s">
        <v>634</v>
      </c>
      <c r="C54" s="24" t="s">
        <v>660</v>
      </c>
      <c r="D54" t="s">
        <v>635</v>
      </c>
      <c r="E54" t="s">
        <v>836</v>
      </c>
    </row>
    <row r="55" spans="2:19" x14ac:dyDescent="0.25">
      <c r="B55" t="s">
        <v>638</v>
      </c>
      <c r="C55" s="24" t="s">
        <v>660</v>
      </c>
      <c r="D55" t="s">
        <v>639</v>
      </c>
      <c r="E55" t="s">
        <v>848</v>
      </c>
    </row>
    <row r="56" spans="2:19" x14ac:dyDescent="0.25">
      <c r="B56" t="s">
        <v>656</v>
      </c>
      <c r="C56" s="24" t="s">
        <v>660</v>
      </c>
      <c r="D56" t="s">
        <v>657</v>
      </c>
      <c r="E56" t="s">
        <v>845</v>
      </c>
    </row>
    <row r="57" spans="2:19" x14ac:dyDescent="0.25">
      <c r="B57" t="s">
        <v>650</v>
      </c>
      <c r="C57" s="24" t="s">
        <v>660</v>
      </c>
      <c r="D57" t="s">
        <v>651</v>
      </c>
      <c r="E57" t="s">
        <v>842</v>
      </c>
    </row>
    <row r="58" spans="2:19" x14ac:dyDescent="0.25">
      <c r="B58" t="s">
        <v>640</v>
      </c>
      <c r="C58" s="24" t="s">
        <v>660</v>
      </c>
      <c r="D58" t="s">
        <v>641</v>
      </c>
      <c r="E58" t="s">
        <v>837</v>
      </c>
    </row>
    <row r="59" spans="2:19" x14ac:dyDescent="0.25">
      <c r="B59" t="s">
        <v>658</v>
      </c>
      <c r="C59" s="24" t="s">
        <v>660</v>
      </c>
      <c r="D59" t="s">
        <v>659</v>
      </c>
      <c r="E59" t="s">
        <v>846</v>
      </c>
    </row>
    <row r="60" spans="2:19" x14ac:dyDescent="0.25">
      <c r="B60" t="s">
        <v>652</v>
      </c>
      <c r="C60" s="24" t="s">
        <v>660</v>
      </c>
      <c r="D60" t="s">
        <v>653</v>
      </c>
      <c r="E60" t="s">
        <v>843</v>
      </c>
    </row>
    <row r="62" spans="2:19" x14ac:dyDescent="0.25">
      <c r="B62" s="1" t="s">
        <v>263</v>
      </c>
    </row>
    <row r="63" spans="2:19" x14ac:dyDescent="0.25">
      <c r="C63" s="24" t="s">
        <v>619</v>
      </c>
      <c r="D63" t="s">
        <v>660</v>
      </c>
      <c r="E63" s="251" t="s">
        <v>130</v>
      </c>
      <c r="F63" s="251" t="s">
        <v>131</v>
      </c>
      <c r="G63" s="251" t="s">
        <v>118</v>
      </c>
      <c r="H63" s="251" t="s">
        <v>1410</v>
      </c>
      <c r="I63" s="251" t="s">
        <v>1778</v>
      </c>
      <c r="J63" s="39" t="s">
        <v>619</v>
      </c>
      <c r="K63" s="4"/>
      <c r="L63" s="40" t="str">
        <f>builder!E115</f>
        <v/>
      </c>
      <c r="M63" s="12"/>
      <c r="O63" s="39" t="s">
        <v>660</v>
      </c>
      <c r="P63" s="4"/>
      <c r="Q63" s="40" t="str">
        <f>builder!F115</f>
        <v/>
      </c>
      <c r="R63" s="12"/>
      <c r="S63" s="251" t="s">
        <v>1410</v>
      </c>
    </row>
    <row r="64" spans="2:19" x14ac:dyDescent="0.25">
      <c r="B64" s="24" t="s">
        <v>661</v>
      </c>
      <c r="C64" s="24" t="s">
        <v>104</v>
      </c>
      <c r="D64" t="s">
        <v>106</v>
      </c>
      <c r="E64" s="251" t="s">
        <v>1411</v>
      </c>
      <c r="F64" s="251" t="s">
        <v>1412</v>
      </c>
      <c r="G64" s="251" t="s">
        <v>1451</v>
      </c>
      <c r="H64" s="251" t="s">
        <v>740</v>
      </c>
      <c r="I64" s="251" t="s">
        <v>1779</v>
      </c>
      <c r="J64" s="6" t="s">
        <v>705</v>
      </c>
      <c r="K64" s="25" t="s">
        <v>105</v>
      </c>
      <c r="L64" s="8" t="str">
        <f>IF($L$63=K64,J64,"")</f>
        <v/>
      </c>
      <c r="M64" s="13" t="s">
        <v>860</v>
      </c>
      <c r="O64" s="6" t="s">
        <v>703</v>
      </c>
      <c r="P64" s="25" t="s">
        <v>105</v>
      </c>
      <c r="Q64" s="8" t="str">
        <f>IF($Q$63=P64,O64,"")</f>
        <v/>
      </c>
      <c r="R64" s="13" t="s">
        <v>862</v>
      </c>
      <c r="S64" s="251" t="s">
        <v>1452</v>
      </c>
    </row>
    <row r="65" spans="2:19" x14ac:dyDescent="0.25">
      <c r="B65" t="s">
        <v>662</v>
      </c>
      <c r="C65" s="24" t="s">
        <v>106</v>
      </c>
      <c r="D65" t="s">
        <v>102</v>
      </c>
      <c r="E65" s="251" t="s">
        <v>1413</v>
      </c>
      <c r="F65" s="251" t="s">
        <v>1414</v>
      </c>
      <c r="G65" s="251" t="s">
        <v>1453</v>
      </c>
      <c r="H65" s="251" t="s">
        <v>1793</v>
      </c>
      <c r="I65" s="251" t="s">
        <v>1780</v>
      </c>
      <c r="J65" s="6" t="s">
        <v>701</v>
      </c>
      <c r="K65" s="25" t="s">
        <v>104</v>
      </c>
      <c r="L65" s="8" t="str">
        <f>IF($L$63=K65,J65,"")</f>
        <v/>
      </c>
      <c r="M65" s="13" t="s">
        <v>858</v>
      </c>
      <c r="O65" s="6" t="s">
        <v>692</v>
      </c>
      <c r="P65" s="25" t="s">
        <v>103</v>
      </c>
      <c r="Q65" s="8" t="str">
        <f>IF($Q$63=P65,O65,"")</f>
        <v/>
      </c>
      <c r="R65" s="13" t="s">
        <v>863</v>
      </c>
      <c r="S65" s="251" t="s">
        <v>1454</v>
      </c>
    </row>
    <row r="66" spans="2:19" x14ac:dyDescent="0.25">
      <c r="B66" t="s">
        <v>663</v>
      </c>
      <c r="C66" s="24" t="s">
        <v>103</v>
      </c>
      <c r="D66" t="s">
        <v>105</v>
      </c>
      <c r="E66" s="251" t="s">
        <v>1415</v>
      </c>
      <c r="F66" s="251" t="s">
        <v>1416</v>
      </c>
      <c r="G66" s="251" t="s">
        <v>1455</v>
      </c>
      <c r="H66" s="251" t="s">
        <v>1794</v>
      </c>
      <c r="I66" s="251" t="s">
        <v>1781</v>
      </c>
      <c r="J66" s="6" t="s">
        <v>114</v>
      </c>
      <c r="K66" s="25" t="s">
        <v>103</v>
      </c>
      <c r="L66" s="8" t="str">
        <f>IF($L$63=K66,J66,"")</f>
        <v/>
      </c>
      <c r="M66" s="13" t="s">
        <v>854</v>
      </c>
      <c r="O66" s="6" t="s">
        <v>683</v>
      </c>
      <c r="P66" s="25" t="s">
        <v>681</v>
      </c>
      <c r="Q66" s="8" t="s">
        <v>683</v>
      </c>
      <c r="R66" s="13" t="s">
        <v>869</v>
      </c>
      <c r="S66" s="251" t="s">
        <v>1456</v>
      </c>
    </row>
    <row r="67" spans="2:19" x14ac:dyDescent="0.25">
      <c r="B67" t="s">
        <v>664</v>
      </c>
      <c r="C67" s="24" t="s">
        <v>104</v>
      </c>
      <c r="D67" t="s">
        <v>103</v>
      </c>
      <c r="E67" s="251" t="s">
        <v>1417</v>
      </c>
      <c r="F67" s="251" t="s">
        <v>1418</v>
      </c>
      <c r="G67" s="251" t="s">
        <v>1457</v>
      </c>
      <c r="H67" s="251" t="s">
        <v>1795</v>
      </c>
      <c r="I67" s="251" t="s">
        <v>1782</v>
      </c>
      <c r="J67" s="6" t="s">
        <v>687</v>
      </c>
      <c r="K67" s="25" t="s">
        <v>681</v>
      </c>
      <c r="L67" s="8" t="s">
        <v>687</v>
      </c>
      <c r="M67" s="13" t="s">
        <v>851</v>
      </c>
      <c r="O67" s="6" t="s">
        <v>684</v>
      </c>
      <c r="P67" s="25" t="s">
        <v>681</v>
      </c>
      <c r="Q67" s="8" t="s">
        <v>684</v>
      </c>
      <c r="R67" s="13" t="s">
        <v>871</v>
      </c>
      <c r="S67" s="251" t="s">
        <v>1458</v>
      </c>
    </row>
    <row r="68" spans="2:19" x14ac:dyDescent="0.25">
      <c r="B68" t="s">
        <v>665</v>
      </c>
      <c r="C68" s="24" t="s">
        <v>102</v>
      </c>
      <c r="D68" t="s">
        <v>104</v>
      </c>
      <c r="E68" s="251" t="s">
        <v>1419</v>
      </c>
      <c r="F68" s="251" t="s">
        <v>1420</v>
      </c>
      <c r="G68" s="251" t="s">
        <v>1459</v>
      </c>
      <c r="H68" s="251" t="s">
        <v>1796</v>
      </c>
      <c r="I68" s="251" t="s">
        <v>1783</v>
      </c>
      <c r="J68" s="6" t="s">
        <v>686</v>
      </c>
      <c r="K68" s="25" t="s">
        <v>681</v>
      </c>
      <c r="L68" s="8" t="s">
        <v>686</v>
      </c>
      <c r="M68" s="13" t="s">
        <v>850</v>
      </c>
      <c r="O68" s="6" t="s">
        <v>696</v>
      </c>
      <c r="P68" s="25" t="s">
        <v>106</v>
      </c>
      <c r="Q68" s="8" t="str">
        <f>IF($Q$63=P68,O68,"")</f>
        <v/>
      </c>
      <c r="R68" s="13" t="s">
        <v>865</v>
      </c>
      <c r="S68" s="251" t="s">
        <v>1460</v>
      </c>
    </row>
    <row r="69" spans="2:19" x14ac:dyDescent="0.25">
      <c r="B69" t="s">
        <v>666</v>
      </c>
      <c r="C69" s="24" t="s">
        <v>102</v>
      </c>
      <c r="D69" t="s">
        <v>105</v>
      </c>
      <c r="E69" s="251" t="s">
        <v>1421</v>
      </c>
      <c r="F69" s="251" t="s">
        <v>1422</v>
      </c>
      <c r="G69" s="251" t="s">
        <v>1461</v>
      </c>
      <c r="H69" s="251" t="s">
        <v>1797</v>
      </c>
      <c r="I69" s="251" t="s">
        <v>1784</v>
      </c>
      <c r="J69" s="6" t="s">
        <v>685</v>
      </c>
      <c r="K69" s="25" t="s">
        <v>681</v>
      </c>
      <c r="L69" s="8" t="s">
        <v>685</v>
      </c>
      <c r="M69" s="13" t="s">
        <v>849</v>
      </c>
      <c r="O69" s="6" t="s">
        <v>700</v>
      </c>
      <c r="P69" s="25" t="s">
        <v>104</v>
      </c>
      <c r="Q69" s="8" t="str">
        <f>IF($Q$63=P69,O69,"")</f>
        <v/>
      </c>
      <c r="R69" s="13" t="s">
        <v>872</v>
      </c>
      <c r="S69" s="251" t="s">
        <v>1777</v>
      </c>
    </row>
    <row r="70" spans="2:19" x14ac:dyDescent="0.25">
      <c r="B70" t="s">
        <v>667</v>
      </c>
      <c r="C70" s="24" t="s">
        <v>106</v>
      </c>
      <c r="D70" t="s">
        <v>105</v>
      </c>
      <c r="E70" s="251" t="s">
        <v>1423</v>
      </c>
      <c r="F70" s="251" t="s">
        <v>1424</v>
      </c>
      <c r="G70" s="251" t="s">
        <v>1462</v>
      </c>
      <c r="H70" s="251" t="s">
        <v>1798</v>
      </c>
      <c r="I70" s="251" t="s">
        <v>1785</v>
      </c>
      <c r="J70" s="6" t="s">
        <v>702</v>
      </c>
      <c r="K70" s="25" t="s">
        <v>104</v>
      </c>
      <c r="L70" s="8" t="str">
        <f t="shared" ref="L70:L76" si="0">IF($L$63=K70,J70,"")</f>
        <v/>
      </c>
      <c r="M70" s="13" t="s">
        <v>859</v>
      </c>
      <c r="O70" s="6" t="s">
        <v>699</v>
      </c>
      <c r="P70" s="25" t="s">
        <v>104</v>
      </c>
      <c r="Q70" s="8" t="str">
        <f>IF($Q$63=P70,O70,"")</f>
        <v/>
      </c>
      <c r="R70" s="13" t="s">
        <v>873</v>
      </c>
      <c r="S70" s="251" t="s">
        <v>1463</v>
      </c>
    </row>
    <row r="71" spans="2:19" x14ac:dyDescent="0.25">
      <c r="B71" t="s">
        <v>668</v>
      </c>
      <c r="C71" s="24" t="s">
        <v>105</v>
      </c>
      <c r="D71" t="s">
        <v>103</v>
      </c>
      <c r="E71" s="251" t="s">
        <v>1425</v>
      </c>
      <c r="F71" s="251" t="s">
        <v>1426</v>
      </c>
      <c r="G71" s="251" t="s">
        <v>1464</v>
      </c>
      <c r="H71" s="251" t="s">
        <v>1799</v>
      </c>
      <c r="I71" s="251" t="s">
        <v>1786</v>
      </c>
      <c r="J71" s="6" t="s">
        <v>690</v>
      </c>
      <c r="K71" s="25" t="s">
        <v>102</v>
      </c>
      <c r="L71" s="8" t="str">
        <f t="shared" si="0"/>
        <v/>
      </c>
      <c r="M71" s="13" t="s">
        <v>852</v>
      </c>
      <c r="O71" s="6" t="s">
        <v>682</v>
      </c>
      <c r="P71" s="25" t="s">
        <v>681</v>
      </c>
      <c r="Q71" s="8" t="s">
        <v>682</v>
      </c>
      <c r="R71" s="13" t="s">
        <v>870</v>
      </c>
      <c r="S71" s="251" t="s">
        <v>1489</v>
      </c>
    </row>
    <row r="72" spans="2:19" x14ac:dyDescent="0.25">
      <c r="B72" t="s">
        <v>669</v>
      </c>
      <c r="C72" s="24" t="s">
        <v>105</v>
      </c>
      <c r="D72" t="s">
        <v>104</v>
      </c>
      <c r="E72" s="251" t="s">
        <v>1427</v>
      </c>
      <c r="F72" s="251" t="s">
        <v>1428</v>
      </c>
      <c r="G72" s="251" t="s">
        <v>1465</v>
      </c>
      <c r="H72" s="251" t="s">
        <v>1800</v>
      </c>
      <c r="I72" s="251" t="s">
        <v>1787</v>
      </c>
      <c r="J72" s="6" t="s">
        <v>697</v>
      </c>
      <c r="K72" s="25" t="s">
        <v>106</v>
      </c>
      <c r="L72" s="8" t="str">
        <f t="shared" si="0"/>
        <v/>
      </c>
      <c r="M72" s="13" t="s">
        <v>856</v>
      </c>
      <c r="O72" s="6" t="s">
        <v>688</v>
      </c>
      <c r="P72" s="25" t="s">
        <v>102</v>
      </c>
      <c r="Q72" s="8" t="str">
        <f>IF($Q$63=P72,O72,"")</f>
        <v/>
      </c>
      <c r="R72" s="13" t="s">
        <v>866</v>
      </c>
      <c r="S72" s="251" t="s">
        <v>1466</v>
      </c>
    </row>
    <row r="73" spans="2:19" x14ac:dyDescent="0.25">
      <c r="B73" t="s">
        <v>670</v>
      </c>
      <c r="C73" s="24" t="s">
        <v>106</v>
      </c>
      <c r="D73" t="s">
        <v>104</v>
      </c>
      <c r="E73" s="251" t="s">
        <v>1429</v>
      </c>
      <c r="F73" s="251" t="s">
        <v>1430</v>
      </c>
      <c r="G73" s="251" t="s">
        <v>1467</v>
      </c>
      <c r="H73" s="251" t="s">
        <v>1801</v>
      </c>
      <c r="I73" s="251" t="s">
        <v>1788</v>
      </c>
      <c r="J73" s="6" t="s">
        <v>706</v>
      </c>
      <c r="K73" s="25" t="s">
        <v>105</v>
      </c>
      <c r="L73" s="8" t="str">
        <f t="shared" si="0"/>
        <v/>
      </c>
      <c r="M73" s="13" t="s">
        <v>861</v>
      </c>
      <c r="O73" s="6" t="s">
        <v>695</v>
      </c>
      <c r="P73" s="25" t="s">
        <v>106</v>
      </c>
      <c r="Q73" s="8" t="str">
        <f>IF($Q$63=P73,O73,"")</f>
        <v/>
      </c>
      <c r="R73" s="13" t="s">
        <v>868</v>
      </c>
      <c r="S73" s="251" t="s">
        <v>1468</v>
      </c>
    </row>
    <row r="74" spans="2:19" x14ac:dyDescent="0.25">
      <c r="B74" t="s">
        <v>671</v>
      </c>
      <c r="C74" s="24" t="s">
        <v>105</v>
      </c>
      <c r="D74" t="s">
        <v>106</v>
      </c>
      <c r="E74" s="251" t="s">
        <v>1431</v>
      </c>
      <c r="F74" s="251" t="s">
        <v>1432</v>
      </c>
      <c r="G74" s="251" t="s">
        <v>1469</v>
      </c>
      <c r="H74" s="251" t="s">
        <v>1802</v>
      </c>
      <c r="I74" s="251" t="s">
        <v>1789</v>
      </c>
      <c r="J74" s="6" t="s">
        <v>691</v>
      </c>
      <c r="K74" s="25" t="s">
        <v>102</v>
      </c>
      <c r="L74" s="8" t="str">
        <f t="shared" si="0"/>
        <v/>
      </c>
      <c r="M74" s="13" t="s">
        <v>853</v>
      </c>
      <c r="O74" s="6" t="s">
        <v>689</v>
      </c>
      <c r="P74" s="25" t="s">
        <v>102</v>
      </c>
      <c r="Q74" s="8" t="str">
        <f>IF($Q$63=P74,O74,"")</f>
        <v/>
      </c>
      <c r="R74" s="13" t="s">
        <v>867</v>
      </c>
      <c r="S74" s="251" t="s">
        <v>1470</v>
      </c>
    </row>
    <row r="75" spans="2:19" x14ac:dyDescent="0.25">
      <c r="B75" t="s">
        <v>672</v>
      </c>
      <c r="C75" s="24" t="s">
        <v>103</v>
      </c>
      <c r="D75" t="s">
        <v>102</v>
      </c>
      <c r="E75" s="251" t="s">
        <v>1433</v>
      </c>
      <c r="F75" s="251" t="s">
        <v>1434</v>
      </c>
      <c r="G75" s="251" t="s">
        <v>1471</v>
      </c>
      <c r="H75" s="251" t="s">
        <v>1803</v>
      </c>
      <c r="I75" s="251" t="s">
        <v>1790</v>
      </c>
      <c r="J75" s="6" t="s">
        <v>698</v>
      </c>
      <c r="K75" s="25" t="s">
        <v>106</v>
      </c>
      <c r="L75" s="8" t="str">
        <f t="shared" si="0"/>
        <v/>
      </c>
      <c r="M75" s="13" t="s">
        <v>855</v>
      </c>
      <c r="O75" s="6" t="s">
        <v>704</v>
      </c>
      <c r="P75" s="25" t="s">
        <v>105</v>
      </c>
      <c r="Q75" s="8" t="str">
        <f>IF($Q$63=P75,O75,"")</f>
        <v/>
      </c>
      <c r="R75" s="13" t="s">
        <v>874</v>
      </c>
      <c r="S75" s="251" t="s">
        <v>1472</v>
      </c>
    </row>
    <row r="76" spans="2:19" x14ac:dyDescent="0.25">
      <c r="B76" t="s">
        <v>673</v>
      </c>
      <c r="C76" s="24" t="s">
        <v>104</v>
      </c>
      <c r="D76" t="s">
        <v>105</v>
      </c>
      <c r="E76" s="251" t="s">
        <v>1435</v>
      </c>
      <c r="F76" s="251" t="s">
        <v>1436</v>
      </c>
      <c r="G76" s="251" t="s">
        <v>1473</v>
      </c>
      <c r="H76" s="251" t="s">
        <v>729</v>
      </c>
      <c r="I76" s="251" t="s">
        <v>1791</v>
      </c>
      <c r="J76" s="57" t="s">
        <v>694</v>
      </c>
      <c r="K76" s="10" t="s">
        <v>103</v>
      </c>
      <c r="L76" s="58" t="str">
        <f t="shared" si="0"/>
        <v/>
      </c>
      <c r="M76" s="14" t="s">
        <v>857</v>
      </c>
      <c r="O76" s="57" t="s">
        <v>693</v>
      </c>
      <c r="P76" s="10" t="s">
        <v>103</v>
      </c>
      <c r="Q76" s="58" t="str">
        <f>IF($Q$63=P76,O76,"")</f>
        <v/>
      </c>
      <c r="R76" s="14" t="s">
        <v>864</v>
      </c>
      <c r="S76" s="251" t="s">
        <v>1474</v>
      </c>
    </row>
    <row r="77" spans="2:19" x14ac:dyDescent="0.25">
      <c r="B77" t="s">
        <v>674</v>
      </c>
      <c r="C77" s="24" t="s">
        <v>102</v>
      </c>
      <c r="D77" t="s">
        <v>106</v>
      </c>
      <c r="E77" s="251" t="s">
        <v>1437</v>
      </c>
      <c r="F77" s="251" t="s">
        <v>1438</v>
      </c>
      <c r="G77" s="251" t="s">
        <v>1475</v>
      </c>
      <c r="H77" s="251" t="s">
        <v>1804</v>
      </c>
      <c r="I77" s="251" t="s">
        <v>1792</v>
      </c>
      <c r="J77" s="24"/>
      <c r="K77" s="24"/>
      <c r="L77" s="24"/>
      <c r="M77" s="24"/>
      <c r="N77" s="24"/>
      <c r="P77" s="24"/>
      <c r="Q77" s="24"/>
      <c r="R77" s="24"/>
      <c r="S77" s="251" t="s">
        <v>1476</v>
      </c>
    </row>
    <row r="78" spans="2:19" x14ac:dyDescent="0.25">
      <c r="B78" t="s">
        <v>675</v>
      </c>
      <c r="C78" s="24" t="s">
        <v>103</v>
      </c>
      <c r="D78" t="s">
        <v>104</v>
      </c>
      <c r="E78" s="251" t="s">
        <v>1439</v>
      </c>
      <c r="F78" s="251" t="s">
        <v>1440</v>
      </c>
      <c r="G78" s="251" t="s">
        <v>1477</v>
      </c>
      <c r="H78" s="251" t="s">
        <v>1805</v>
      </c>
      <c r="I78" s="251" t="s">
        <v>1810</v>
      </c>
      <c r="J78" s="24"/>
      <c r="K78" s="24"/>
      <c r="L78" s="24"/>
      <c r="M78" s="24"/>
      <c r="N78" s="24"/>
      <c r="P78" s="24"/>
      <c r="Q78" s="24"/>
      <c r="R78" s="24"/>
      <c r="S78" s="251" t="s">
        <v>1478</v>
      </c>
    </row>
    <row r="79" spans="2:19" x14ac:dyDescent="0.25">
      <c r="B79" t="s">
        <v>676</v>
      </c>
      <c r="C79" s="24" t="s">
        <v>103</v>
      </c>
      <c r="D79" t="s">
        <v>106</v>
      </c>
      <c r="E79" s="251" t="s">
        <v>1441</v>
      </c>
      <c r="F79" s="251" t="s">
        <v>1442</v>
      </c>
      <c r="G79" s="251" t="s">
        <v>1479</v>
      </c>
      <c r="H79" s="251" t="s">
        <v>719</v>
      </c>
      <c r="I79" s="251" t="s">
        <v>1811</v>
      </c>
      <c r="J79" s="24"/>
      <c r="K79" s="24"/>
      <c r="L79" s="24"/>
      <c r="M79" s="24"/>
      <c r="N79" s="24"/>
      <c r="P79" s="24"/>
      <c r="Q79" s="24"/>
      <c r="R79" s="24"/>
      <c r="S79" s="251" t="s">
        <v>1488</v>
      </c>
    </row>
    <row r="80" spans="2:19" x14ac:dyDescent="0.25">
      <c r="B80" t="s">
        <v>677</v>
      </c>
      <c r="C80" s="24" t="s">
        <v>106</v>
      </c>
      <c r="D80" t="s">
        <v>103</v>
      </c>
      <c r="E80" s="251" t="s">
        <v>1443</v>
      </c>
      <c r="F80" s="251" t="s">
        <v>1444</v>
      </c>
      <c r="G80" s="251" t="s">
        <v>1480</v>
      </c>
      <c r="H80" s="251" t="s">
        <v>1806</v>
      </c>
      <c r="I80" s="251" t="s">
        <v>1812</v>
      </c>
      <c r="J80" s="24"/>
      <c r="K80" s="24"/>
      <c r="L80" s="24"/>
      <c r="M80" s="24"/>
      <c r="N80" s="24"/>
      <c r="R80" s="24"/>
      <c r="S80" s="251" t="s">
        <v>1481</v>
      </c>
    </row>
    <row r="81" spans="2:19" x14ac:dyDescent="0.25">
      <c r="B81" t="s">
        <v>678</v>
      </c>
      <c r="C81" s="24" t="s">
        <v>105</v>
      </c>
      <c r="D81" t="s">
        <v>102</v>
      </c>
      <c r="E81" s="251" t="s">
        <v>1445</v>
      </c>
      <c r="F81" s="251" t="s">
        <v>1446</v>
      </c>
      <c r="G81" s="251" t="s">
        <v>1482</v>
      </c>
      <c r="H81" s="251" t="s">
        <v>1807</v>
      </c>
      <c r="I81" s="251" t="s">
        <v>1813</v>
      </c>
      <c r="N81" s="24"/>
      <c r="S81" s="251" t="s">
        <v>1483</v>
      </c>
    </row>
    <row r="82" spans="2:19" x14ac:dyDescent="0.25">
      <c r="B82" t="s">
        <v>679</v>
      </c>
      <c r="C82" s="24" t="s">
        <v>104</v>
      </c>
      <c r="D82" t="s">
        <v>102</v>
      </c>
      <c r="E82" s="251" t="s">
        <v>1447</v>
      </c>
      <c r="F82" s="251" t="s">
        <v>1448</v>
      </c>
      <c r="G82" s="251" t="s">
        <v>1484</v>
      </c>
      <c r="H82" s="251" t="s">
        <v>1808</v>
      </c>
      <c r="I82" s="251" t="s">
        <v>1814</v>
      </c>
      <c r="S82" s="251" t="s">
        <v>1485</v>
      </c>
    </row>
    <row r="83" spans="2:19" x14ac:dyDescent="0.25">
      <c r="B83" t="s">
        <v>680</v>
      </c>
      <c r="C83" s="24" t="s">
        <v>102</v>
      </c>
      <c r="D83" t="s">
        <v>103</v>
      </c>
      <c r="E83" s="251" t="s">
        <v>1449</v>
      </c>
      <c r="F83" s="251" t="s">
        <v>1450</v>
      </c>
      <c r="G83" s="251" t="s">
        <v>1486</v>
      </c>
      <c r="H83" s="251" t="s">
        <v>1809</v>
      </c>
      <c r="I83" s="251" t="s">
        <v>1815</v>
      </c>
      <c r="S83" s="251" t="s">
        <v>1487</v>
      </c>
    </row>
    <row r="84" spans="2:19" x14ac:dyDescent="0.25">
      <c r="I84" s="51" t="s">
        <v>710</v>
      </c>
    </row>
    <row r="86" spans="2:19" x14ac:dyDescent="0.25">
      <c r="B86" s="51" t="s">
        <v>712</v>
      </c>
      <c r="C86" s="24" t="s">
        <v>619</v>
      </c>
      <c r="D86" s="24" t="s">
        <v>660</v>
      </c>
      <c r="E86" s="24" t="s">
        <v>660</v>
      </c>
      <c r="F86" s="24" t="s">
        <v>619</v>
      </c>
      <c r="I86" s="51" t="s">
        <v>711</v>
      </c>
    </row>
    <row r="87" spans="2:19" x14ac:dyDescent="0.25">
      <c r="B87" s="24"/>
      <c r="C87" s="24" t="str">
        <f>IF(COUNTIF(builder!$G$118:$I$130,styles!D87),styles!D87,"")</f>
        <v/>
      </c>
      <c r="D87" s="24" t="s">
        <v>18</v>
      </c>
      <c r="E87" t="s">
        <v>902</v>
      </c>
      <c r="F87" s="24" t="s">
        <v>903</v>
      </c>
      <c r="I87" t="s">
        <v>719</v>
      </c>
    </row>
    <row r="88" spans="2:19" x14ac:dyDescent="0.25">
      <c r="C88" s="24" t="str">
        <f>IF(COUNTIF(builder!$G$118:$I$130,styles!D88),styles!D88,"")</f>
        <v/>
      </c>
      <c r="D88" s="24" t="s">
        <v>715</v>
      </c>
      <c r="E88" t="s">
        <v>904</v>
      </c>
      <c r="F88" s="24" t="s">
        <v>905</v>
      </c>
      <c r="I88" t="s">
        <v>720</v>
      </c>
    </row>
    <row r="89" spans="2:19" x14ac:dyDescent="0.25">
      <c r="C89" s="24" t="str">
        <f>IF(COUNTIF(builder!$G$118:$I$130,styles!D89),styles!D89,"")</f>
        <v/>
      </c>
      <c r="D89" s="24" t="s">
        <v>716</v>
      </c>
      <c r="E89" s="24" t="s">
        <v>906</v>
      </c>
      <c r="F89" s="24" t="s">
        <v>907</v>
      </c>
      <c r="H89" s="24"/>
      <c r="I89" t="s">
        <v>721</v>
      </c>
    </row>
    <row r="90" spans="2:19" x14ac:dyDescent="0.25">
      <c r="C90" s="24" t="str">
        <f>IF(COUNTIF(builder!$G$118:$I$130,styles!D90),styles!D90,"")</f>
        <v/>
      </c>
      <c r="D90" s="24" t="s">
        <v>717</v>
      </c>
      <c r="E90" t="s">
        <v>908</v>
      </c>
      <c r="F90" t="s">
        <v>909</v>
      </c>
      <c r="G90" s="24" t="s">
        <v>910</v>
      </c>
      <c r="H90" s="24"/>
      <c r="I90" t="s">
        <v>722</v>
      </c>
    </row>
    <row r="91" spans="2:19" x14ac:dyDescent="0.25">
      <c r="D91" s="24" t="s">
        <v>718</v>
      </c>
      <c r="E91" t="s">
        <v>901</v>
      </c>
      <c r="H91" s="24"/>
      <c r="I91" t="s">
        <v>723</v>
      </c>
    </row>
    <row r="92" spans="2:19" x14ac:dyDescent="0.25">
      <c r="H92" s="24"/>
      <c r="I92" t="s">
        <v>724</v>
      </c>
    </row>
    <row r="93" spans="2:19" x14ac:dyDescent="0.25">
      <c r="H93" s="24"/>
      <c r="I93" t="s">
        <v>725</v>
      </c>
    </row>
    <row r="94" spans="2:19" x14ac:dyDescent="0.25">
      <c r="H94" s="24"/>
    </row>
    <row r="95" spans="2:19" x14ac:dyDescent="0.25">
      <c r="B95" s="51" t="s">
        <v>726</v>
      </c>
      <c r="G95" s="257" t="s">
        <v>1753</v>
      </c>
      <c r="H95" s="251"/>
      <c r="I95" s="251"/>
      <c r="P95" t="s">
        <v>1774</v>
      </c>
    </row>
    <row r="96" spans="2:19" x14ac:dyDescent="0.25">
      <c r="B96" t="s">
        <v>727</v>
      </c>
      <c r="C96" t="s">
        <v>728</v>
      </c>
      <c r="D96" t="s">
        <v>879</v>
      </c>
      <c r="F96" t="s">
        <v>1219</v>
      </c>
      <c r="G96" s="251" t="s">
        <v>729</v>
      </c>
      <c r="H96" s="251" t="s">
        <v>730</v>
      </c>
      <c r="I96" s="251" t="s">
        <v>880</v>
      </c>
    </row>
    <row r="97" spans="2:9" x14ac:dyDescent="0.25">
      <c r="B97" t="s">
        <v>729</v>
      </c>
      <c r="C97" t="s">
        <v>730</v>
      </c>
      <c r="D97" s="24" t="s">
        <v>880</v>
      </c>
      <c r="F97" t="s">
        <v>1219</v>
      </c>
      <c r="G97" s="251" t="s">
        <v>1754</v>
      </c>
      <c r="H97" s="251" t="s">
        <v>1755</v>
      </c>
      <c r="I97" s="251" t="s">
        <v>1756</v>
      </c>
    </row>
    <row r="98" spans="2:9" x14ac:dyDescent="0.25">
      <c r="B98" t="s">
        <v>731</v>
      </c>
      <c r="C98" t="s">
        <v>732</v>
      </c>
      <c r="D98" s="24" t="s">
        <v>881</v>
      </c>
      <c r="F98" t="s">
        <v>1219</v>
      </c>
      <c r="G98" s="251" t="s">
        <v>1757</v>
      </c>
      <c r="H98" s="251" t="s">
        <v>1760</v>
      </c>
      <c r="I98" s="251" t="s">
        <v>1767</v>
      </c>
    </row>
    <row r="99" spans="2:9" x14ac:dyDescent="0.25">
      <c r="B99" t="s">
        <v>738</v>
      </c>
      <c r="C99" t="s">
        <v>739</v>
      </c>
      <c r="D99" s="24" t="s">
        <v>882</v>
      </c>
      <c r="F99" t="s">
        <v>1219</v>
      </c>
      <c r="G99" s="251" t="s">
        <v>731</v>
      </c>
      <c r="H99" s="251" t="s">
        <v>732</v>
      </c>
      <c r="I99" s="251" t="s">
        <v>881</v>
      </c>
    </row>
    <row r="100" spans="2:9" s="205" customFormat="1" x14ac:dyDescent="0.25">
      <c r="B100" s="222" t="s">
        <v>1349</v>
      </c>
      <c r="C100" s="205" t="s">
        <v>1351</v>
      </c>
      <c r="D100" s="205" t="s">
        <v>1352</v>
      </c>
      <c r="F100" s="205" t="s">
        <v>1219</v>
      </c>
      <c r="G100" s="251" t="s">
        <v>1758</v>
      </c>
      <c r="H100" s="251" t="s">
        <v>1761</v>
      </c>
      <c r="I100" s="251" t="s">
        <v>1768</v>
      </c>
    </row>
    <row r="101" spans="2:9" x14ac:dyDescent="0.25">
      <c r="B101" t="s">
        <v>733</v>
      </c>
      <c r="C101" t="s">
        <v>734</v>
      </c>
      <c r="D101" s="24" t="s">
        <v>883</v>
      </c>
      <c r="F101" t="s">
        <v>1219</v>
      </c>
      <c r="G101" s="251" t="s">
        <v>738</v>
      </c>
      <c r="H101" s="251" t="s">
        <v>739</v>
      </c>
      <c r="I101" s="251" t="s">
        <v>882</v>
      </c>
    </row>
    <row r="102" spans="2:9" x14ac:dyDescent="0.25">
      <c r="B102" t="s">
        <v>735</v>
      </c>
      <c r="C102" t="s">
        <v>736</v>
      </c>
      <c r="D102" s="24" t="s">
        <v>884</v>
      </c>
      <c r="F102" t="s">
        <v>1219</v>
      </c>
      <c r="G102" s="251" t="s">
        <v>722</v>
      </c>
      <c r="H102" s="251" t="s">
        <v>737</v>
      </c>
      <c r="I102" s="251" t="s">
        <v>737</v>
      </c>
    </row>
    <row r="103" spans="2:9" x14ac:dyDescent="0.25">
      <c r="B103" t="s">
        <v>722</v>
      </c>
      <c r="C103" t="s">
        <v>737</v>
      </c>
      <c r="D103" s="24" t="s">
        <v>737</v>
      </c>
      <c r="F103" t="s">
        <v>1219</v>
      </c>
      <c r="G103" s="251" t="s">
        <v>1759</v>
      </c>
      <c r="H103" s="251" t="s">
        <v>1762</v>
      </c>
      <c r="I103" s="251" t="s">
        <v>1769</v>
      </c>
    </row>
    <row r="104" spans="2:9" x14ac:dyDescent="0.25">
      <c r="B104" t="s">
        <v>740</v>
      </c>
      <c r="C104" t="s">
        <v>741</v>
      </c>
      <c r="D104" s="24" t="s">
        <v>885</v>
      </c>
      <c r="F104" t="s">
        <v>1219</v>
      </c>
      <c r="G104" s="251"/>
      <c r="H104" s="251"/>
      <c r="I104" s="251"/>
    </row>
    <row r="105" spans="2:9" x14ac:dyDescent="0.25">
      <c r="G105" s="251" t="s">
        <v>1763</v>
      </c>
      <c r="H105" s="251"/>
      <c r="I105" s="251"/>
    </row>
    <row r="106" spans="2:9" x14ac:dyDescent="0.25">
      <c r="B106" s="222" t="s">
        <v>1350</v>
      </c>
      <c r="C106" t="s">
        <v>1353</v>
      </c>
      <c r="E106" t="s">
        <v>1354</v>
      </c>
      <c r="F106" t="s">
        <v>1219</v>
      </c>
      <c r="G106" s="251" t="s">
        <v>1764</v>
      </c>
      <c r="H106" s="251" t="s">
        <v>1820</v>
      </c>
      <c r="I106" s="251"/>
    </row>
    <row r="107" spans="2:9" s="205" customFormat="1" x14ac:dyDescent="0.25">
      <c r="B107" s="205" t="s">
        <v>742</v>
      </c>
      <c r="C107" s="205" t="s">
        <v>743</v>
      </c>
      <c r="D107" s="205" t="s">
        <v>744</v>
      </c>
      <c r="E107" s="205" t="s">
        <v>875</v>
      </c>
      <c r="F107" s="205" t="s">
        <v>1219</v>
      </c>
      <c r="G107" s="251" t="s">
        <v>1766</v>
      </c>
      <c r="H107" s="251" t="s">
        <v>1821</v>
      </c>
      <c r="I107" s="251"/>
    </row>
    <row r="108" spans="2:9" x14ac:dyDescent="0.25">
      <c r="B108" t="s">
        <v>745</v>
      </c>
      <c r="C108" t="s">
        <v>746</v>
      </c>
      <c r="D108" t="s">
        <v>747</v>
      </c>
      <c r="E108" s="24" t="s">
        <v>876</v>
      </c>
      <c r="F108" t="s">
        <v>1219</v>
      </c>
      <c r="G108" s="251" t="s">
        <v>1765</v>
      </c>
      <c r="H108" s="251" t="s">
        <v>1819</v>
      </c>
      <c r="I108" s="251"/>
    </row>
    <row r="109" spans="2:9" x14ac:dyDescent="0.25">
      <c r="B109" t="s">
        <v>748</v>
      </c>
      <c r="C109" t="s">
        <v>749</v>
      </c>
      <c r="D109" t="s">
        <v>750</v>
      </c>
      <c r="E109" s="24" t="s">
        <v>877</v>
      </c>
      <c r="F109" t="s">
        <v>1219</v>
      </c>
    </row>
    <row r="110" spans="2:9" x14ac:dyDescent="0.25">
      <c r="B110" t="s">
        <v>751</v>
      </c>
      <c r="C110" t="s">
        <v>752</v>
      </c>
      <c r="D110" t="s">
        <v>753</v>
      </c>
      <c r="E110" s="24" t="s">
        <v>878</v>
      </c>
      <c r="F110" t="s">
        <v>1219</v>
      </c>
    </row>
    <row r="111" spans="2:9" x14ac:dyDescent="0.25">
      <c r="B111" t="s">
        <v>754</v>
      </c>
      <c r="C111" t="s">
        <v>755</v>
      </c>
      <c r="D111" t="s">
        <v>756</v>
      </c>
      <c r="E111" s="24" t="s">
        <v>886</v>
      </c>
      <c r="F111" t="s">
        <v>1219</v>
      </c>
    </row>
    <row r="113" spans="2:21" x14ac:dyDescent="0.25">
      <c r="B113" s="224" t="s">
        <v>1179</v>
      </c>
      <c r="C113" s="4"/>
      <c r="D113" s="4"/>
      <c r="E113" s="4"/>
      <c r="F113" s="199"/>
      <c r="G113" s="218"/>
      <c r="H113" t="s">
        <v>1219</v>
      </c>
      <c r="I113" s="224" t="s">
        <v>1180</v>
      </c>
      <c r="J113" s="25"/>
      <c r="K113" s="25" t="s">
        <v>1219</v>
      </c>
      <c r="L113" s="25"/>
      <c r="M113" s="25"/>
      <c r="N113" s="224" t="s">
        <v>1181</v>
      </c>
      <c r="O113" s="4"/>
      <c r="P113" s="197" t="s">
        <v>619</v>
      </c>
      <c r="Q113" s="217" t="s">
        <v>660</v>
      </c>
      <c r="R113" s="25"/>
      <c r="S113" s="25"/>
      <c r="T113" s="25"/>
      <c r="U113" s="25"/>
    </row>
    <row r="114" spans="2:21" s="192" customFormat="1" x14ac:dyDescent="0.25">
      <c r="B114" s="193" t="s">
        <v>1264</v>
      </c>
      <c r="C114" s="25" t="s">
        <v>1186</v>
      </c>
      <c r="D114" s="218" t="s">
        <v>1358</v>
      </c>
      <c r="E114" s="194" t="s">
        <v>1267</v>
      </c>
      <c r="F114" s="8" t="s">
        <v>1374</v>
      </c>
      <c r="G114" s="8" t="s">
        <v>1190</v>
      </c>
      <c r="H114" s="192" t="s">
        <v>1219</v>
      </c>
      <c r="I114" s="198" t="s">
        <v>1226</v>
      </c>
      <c r="J114" s="4" t="s">
        <v>1227</v>
      </c>
      <c r="K114" s="4" t="s">
        <v>1321</v>
      </c>
      <c r="L114" s="199" t="s">
        <v>1391</v>
      </c>
      <c r="M114" s="194" t="s">
        <v>1219</v>
      </c>
      <c r="N114" s="193" t="s">
        <v>1247</v>
      </c>
      <c r="O114" s="25" t="s">
        <v>1252</v>
      </c>
      <c r="P114" s="25" t="s">
        <v>1400</v>
      </c>
      <c r="Q114" s="8" t="s">
        <v>1253</v>
      </c>
      <c r="R114" s="194" t="s">
        <v>1219</v>
      </c>
      <c r="S114" s="25"/>
      <c r="T114" s="25"/>
      <c r="U114" s="25"/>
    </row>
    <row r="115" spans="2:21" x14ac:dyDescent="0.25">
      <c r="B115" s="193" t="s">
        <v>1262</v>
      </c>
      <c r="C115" s="25" t="s">
        <v>1185</v>
      </c>
      <c r="D115" s="218" t="s">
        <v>1366</v>
      </c>
      <c r="E115" s="194" t="s">
        <v>1263</v>
      </c>
      <c r="F115" s="8" t="s">
        <v>1365</v>
      </c>
      <c r="G115" s="8" t="s">
        <v>1187</v>
      </c>
      <c r="H115" s="192" t="s">
        <v>1219</v>
      </c>
      <c r="I115" s="193" t="s">
        <v>1216</v>
      </c>
      <c r="J115" s="25" t="s">
        <v>1217</v>
      </c>
      <c r="K115" s="25" t="s">
        <v>1322</v>
      </c>
      <c r="L115" s="8" t="s">
        <v>1218</v>
      </c>
      <c r="M115" s="194" t="s">
        <v>1219</v>
      </c>
      <c r="N115" s="193" t="s">
        <v>1245</v>
      </c>
      <c r="O115" s="25" t="s">
        <v>1250</v>
      </c>
      <c r="P115" s="25" t="s">
        <v>1399</v>
      </c>
      <c r="Q115" s="8" t="s">
        <v>1403</v>
      </c>
      <c r="R115" s="194" t="s">
        <v>1219</v>
      </c>
      <c r="S115" s="25"/>
      <c r="T115" s="25"/>
      <c r="U115" s="25"/>
    </row>
    <row r="116" spans="2:21" x14ac:dyDescent="0.25">
      <c r="B116" s="6"/>
      <c r="C116" s="25"/>
      <c r="D116" s="218"/>
      <c r="E116" s="194" t="s">
        <v>1265</v>
      </c>
      <c r="F116" s="8" t="s">
        <v>1375</v>
      </c>
      <c r="G116" s="8" t="s">
        <v>1188</v>
      </c>
      <c r="H116" s="192" t="s">
        <v>1219</v>
      </c>
      <c r="I116" s="6" t="s">
        <v>1228</v>
      </c>
      <c r="J116" s="25" t="s">
        <v>1388</v>
      </c>
      <c r="K116" s="25" t="str">
        <f>IF(COUNTIF(builder!$B$118:$D$124,styles!I116)&gt;0,"Hecteba","")</f>
        <v/>
      </c>
      <c r="L116" s="214" t="s">
        <v>1392</v>
      </c>
      <c r="M116" s="194" t="s">
        <v>1219</v>
      </c>
      <c r="N116" s="193" t="s">
        <v>1229</v>
      </c>
      <c r="O116" s="25" t="s">
        <v>1243</v>
      </c>
      <c r="P116" s="25" t="s">
        <v>1401</v>
      </c>
      <c r="Q116" s="8" t="s">
        <v>1244</v>
      </c>
      <c r="R116" s="194" t="s">
        <v>1219</v>
      </c>
      <c r="S116" s="25"/>
      <c r="T116" s="25"/>
      <c r="U116" s="25"/>
    </row>
    <row r="117" spans="2:21" x14ac:dyDescent="0.25">
      <c r="B117" s="6"/>
      <c r="C117" s="25"/>
      <c r="D117" s="218"/>
      <c r="E117" s="194" t="s">
        <v>1266</v>
      </c>
      <c r="F117" s="8" t="s">
        <v>1360</v>
      </c>
      <c r="G117" s="8" t="s">
        <v>1189</v>
      </c>
      <c r="H117" s="192" t="s">
        <v>1219</v>
      </c>
      <c r="I117" s="6" t="s">
        <v>1220</v>
      </c>
      <c r="J117" s="25" t="s">
        <v>1221</v>
      </c>
      <c r="K117" s="25" t="s">
        <v>1320</v>
      </c>
      <c r="L117" s="8" t="s">
        <v>1393</v>
      </c>
      <c r="M117" s="194" t="s">
        <v>1219</v>
      </c>
      <c r="N117" s="193" t="s">
        <v>1249</v>
      </c>
      <c r="O117" s="25" t="s">
        <v>1256</v>
      </c>
      <c r="P117" s="25" t="s">
        <v>1405</v>
      </c>
      <c r="Q117" s="8" t="s">
        <v>1397</v>
      </c>
      <c r="R117" s="194" t="s">
        <v>1219</v>
      </c>
      <c r="S117" s="219"/>
      <c r="T117" s="25"/>
      <c r="U117" s="25"/>
    </row>
    <row r="118" spans="2:21" x14ac:dyDescent="0.25">
      <c r="B118" s="193" t="s">
        <v>1268</v>
      </c>
      <c r="C118" s="25" t="s">
        <v>1191</v>
      </c>
      <c r="D118" s="218" t="s">
        <v>1367</v>
      </c>
      <c r="E118" s="194" t="s">
        <v>1269</v>
      </c>
      <c r="F118" s="8" t="s">
        <v>1376</v>
      </c>
      <c r="G118" s="8" t="s">
        <v>1193</v>
      </c>
      <c r="H118" s="192" t="s">
        <v>1219</v>
      </c>
      <c r="I118" s="6" t="s">
        <v>1223</v>
      </c>
      <c r="J118" s="25" t="s">
        <v>1224</v>
      </c>
      <c r="K118" s="25" t="str">
        <f>IF(COUNTIF(builder!$B$118:$D$124,styles!I118)&gt;0,"Salacio","")</f>
        <v/>
      </c>
      <c r="L118" s="8" t="s">
        <v>1394</v>
      </c>
      <c r="M118" s="194" t="s">
        <v>1219</v>
      </c>
      <c r="N118" s="193" t="s">
        <v>1246</v>
      </c>
      <c r="O118" s="25" t="s">
        <v>1251</v>
      </c>
      <c r="P118" s="25" t="s">
        <v>1404</v>
      </c>
      <c r="Q118" s="8" t="s">
        <v>1398</v>
      </c>
      <c r="R118" s="194" t="s">
        <v>1219</v>
      </c>
      <c r="S118" s="25"/>
      <c r="T118" s="25"/>
      <c r="U118" s="25"/>
    </row>
    <row r="119" spans="2:21" x14ac:dyDescent="0.25">
      <c r="B119" s="193" t="s">
        <v>1270</v>
      </c>
      <c r="C119" s="25" t="s">
        <v>1192</v>
      </c>
      <c r="D119" s="218" t="s">
        <v>1368</v>
      </c>
      <c r="E119" s="194" t="s">
        <v>1272</v>
      </c>
      <c r="F119" s="8" t="s">
        <v>1377</v>
      </c>
      <c r="G119" s="8" t="s">
        <v>1195</v>
      </c>
      <c r="H119" s="192" t="s">
        <v>1219</v>
      </c>
      <c r="I119" s="6" t="s">
        <v>1222</v>
      </c>
      <c r="J119" s="25" t="s">
        <v>1389</v>
      </c>
      <c r="K119" s="25" t="s">
        <v>1323</v>
      </c>
      <c r="L119" s="8" t="s">
        <v>1395</v>
      </c>
      <c r="M119" s="194" t="s">
        <v>1219</v>
      </c>
      <c r="N119" s="195" t="s">
        <v>1248</v>
      </c>
      <c r="O119" s="10" t="s">
        <v>1254</v>
      </c>
      <c r="P119" s="10" t="s">
        <v>1402</v>
      </c>
      <c r="Q119" s="201" t="s">
        <v>1255</v>
      </c>
      <c r="R119" s="194" t="s">
        <v>1219</v>
      </c>
      <c r="S119" s="25"/>
      <c r="T119" s="25"/>
      <c r="U119" s="25"/>
    </row>
    <row r="120" spans="2:21" x14ac:dyDescent="0.25">
      <c r="B120" s="6"/>
      <c r="C120" s="25"/>
      <c r="D120" s="218"/>
      <c r="E120" s="194" t="s">
        <v>1273</v>
      </c>
      <c r="F120" s="8" t="s">
        <v>1378</v>
      </c>
      <c r="G120" s="8" t="s">
        <v>1196</v>
      </c>
      <c r="H120" s="192" t="s">
        <v>1219</v>
      </c>
      <c r="I120" s="200" t="s">
        <v>1225</v>
      </c>
      <c r="J120" s="10" t="s">
        <v>1390</v>
      </c>
      <c r="K120" s="10" t="s">
        <v>1324</v>
      </c>
      <c r="L120" s="201" t="s">
        <v>1396</v>
      </c>
      <c r="M120" s="194" t="s">
        <v>1219</v>
      </c>
      <c r="N120" s="25"/>
      <c r="O120" s="25"/>
      <c r="P120" s="25"/>
      <c r="Q120" s="25"/>
      <c r="R120" s="25"/>
      <c r="S120" s="25"/>
      <c r="T120" s="25"/>
      <c r="U120" s="25"/>
    </row>
    <row r="121" spans="2:21" x14ac:dyDescent="0.25">
      <c r="B121" s="6"/>
      <c r="C121" s="25"/>
      <c r="D121" s="218"/>
      <c r="E121" s="194" t="s">
        <v>1271</v>
      </c>
      <c r="F121" s="8" t="s">
        <v>1379</v>
      </c>
      <c r="G121" s="8" t="s">
        <v>1194</v>
      </c>
      <c r="H121" s="192" t="s">
        <v>1219</v>
      </c>
      <c r="I121" s="25"/>
      <c r="J121" s="25"/>
      <c r="K121" s="25" t="s">
        <v>1219</v>
      </c>
      <c r="L121" s="25"/>
      <c r="M121" s="25"/>
      <c r="N121" s="25"/>
      <c r="O121" s="25"/>
      <c r="P121" s="25"/>
      <c r="Q121" s="25"/>
      <c r="R121" s="25"/>
      <c r="S121" s="25"/>
      <c r="T121" s="25"/>
      <c r="U121" s="25"/>
    </row>
    <row r="122" spans="2:21" x14ac:dyDescent="0.25">
      <c r="B122" s="193" t="s">
        <v>1274</v>
      </c>
      <c r="C122" s="25" t="s">
        <v>1197</v>
      </c>
      <c r="D122" s="218" t="s">
        <v>1359</v>
      </c>
      <c r="E122" s="194" t="s">
        <v>1278</v>
      </c>
      <c r="F122" s="8" t="s">
        <v>1361</v>
      </c>
      <c r="G122" s="8" t="s">
        <v>1201</v>
      </c>
      <c r="H122" s="192" t="s">
        <v>1219</v>
      </c>
      <c r="K122" s="25" t="s">
        <v>1219</v>
      </c>
      <c r="L122" s="25"/>
      <c r="M122" s="25"/>
      <c r="R122" s="25"/>
      <c r="S122" s="25"/>
      <c r="T122" s="25"/>
      <c r="U122" s="25"/>
    </row>
    <row r="123" spans="2:21" x14ac:dyDescent="0.25">
      <c r="B123" s="193" t="s">
        <v>1276</v>
      </c>
      <c r="C123" s="25" t="s">
        <v>1198</v>
      </c>
      <c r="D123" s="218" t="s">
        <v>1369</v>
      </c>
      <c r="E123" s="194" t="s">
        <v>1279</v>
      </c>
      <c r="F123" s="8" t="s">
        <v>1380</v>
      </c>
      <c r="G123" s="8" t="s">
        <v>1202</v>
      </c>
      <c r="H123" s="192" t="s">
        <v>1219</v>
      </c>
      <c r="I123" s="192" t="s">
        <v>1219</v>
      </c>
      <c r="K123" s="25" t="s">
        <v>1219</v>
      </c>
      <c r="R123" s="25"/>
      <c r="S123" s="25"/>
      <c r="T123" s="25"/>
      <c r="U123" s="25"/>
    </row>
    <row r="124" spans="2:21" x14ac:dyDescent="0.25">
      <c r="B124" s="6"/>
      <c r="C124" s="25"/>
      <c r="D124" s="218"/>
      <c r="E124" s="194" t="s">
        <v>1275</v>
      </c>
      <c r="F124" s="8" t="s">
        <v>1362</v>
      </c>
      <c r="G124" s="8" t="s">
        <v>1199</v>
      </c>
      <c r="H124" s="192" t="s">
        <v>1219</v>
      </c>
      <c r="I124" s="25"/>
      <c r="J124" s="25"/>
      <c r="K124" s="25" t="s">
        <v>1219</v>
      </c>
      <c r="R124" s="25"/>
      <c r="S124" s="25"/>
      <c r="T124" s="25"/>
      <c r="U124" s="25"/>
    </row>
    <row r="125" spans="2:21" x14ac:dyDescent="0.25">
      <c r="B125" s="6"/>
      <c r="C125" s="25"/>
      <c r="D125" s="218"/>
      <c r="E125" s="194" t="s">
        <v>1277</v>
      </c>
      <c r="F125" s="8" t="s">
        <v>1363</v>
      </c>
      <c r="G125" s="8" t="s">
        <v>1200</v>
      </c>
      <c r="H125" s="25"/>
      <c r="I125" s="25"/>
      <c r="J125" s="25" t="s">
        <v>1219</v>
      </c>
      <c r="Q125" s="25"/>
      <c r="R125" s="25"/>
      <c r="S125" s="25"/>
      <c r="T125" s="25"/>
    </row>
    <row r="126" spans="2:21" x14ac:dyDescent="0.25">
      <c r="B126" s="193" t="s">
        <v>1281</v>
      </c>
      <c r="C126" s="25" t="s">
        <v>1204</v>
      </c>
      <c r="D126" s="218" t="s">
        <v>1370</v>
      </c>
      <c r="E126" s="194" t="s">
        <v>1282</v>
      </c>
      <c r="F126" s="8" t="s">
        <v>1381</v>
      </c>
      <c r="G126" s="8" t="s">
        <v>1206</v>
      </c>
      <c r="J126" s="25" t="s">
        <v>1219</v>
      </c>
      <c r="Q126" s="25"/>
      <c r="R126" s="25"/>
      <c r="S126" s="25"/>
      <c r="T126" s="25"/>
    </row>
    <row r="127" spans="2:21" x14ac:dyDescent="0.25">
      <c r="B127" s="193" t="s">
        <v>1261</v>
      </c>
      <c r="C127" s="25" t="s">
        <v>1203</v>
      </c>
      <c r="D127" s="218" t="s">
        <v>1371</v>
      </c>
      <c r="E127" s="194" t="s">
        <v>1280</v>
      </c>
      <c r="F127" s="8" t="s">
        <v>1382</v>
      </c>
      <c r="G127" s="8" t="s">
        <v>1205</v>
      </c>
      <c r="H127" s="192" t="s">
        <v>1219</v>
      </c>
      <c r="J127" s="25" t="s">
        <v>1219</v>
      </c>
      <c r="Q127" s="25"/>
      <c r="R127" s="25"/>
      <c r="S127" s="25"/>
      <c r="T127" s="25"/>
    </row>
    <row r="128" spans="2:21" x14ac:dyDescent="0.25">
      <c r="B128" s="6"/>
      <c r="C128" s="25"/>
      <c r="D128" s="218"/>
      <c r="E128" s="194" t="s">
        <v>1284</v>
      </c>
      <c r="F128" s="8" t="s">
        <v>1383</v>
      </c>
      <c r="G128" s="8" t="s">
        <v>1208</v>
      </c>
      <c r="H128" s="25"/>
      <c r="I128" s="25"/>
      <c r="J128" s="25" t="s">
        <v>1219</v>
      </c>
      <c r="M128" s="25"/>
      <c r="N128" s="25"/>
      <c r="O128" s="25"/>
      <c r="P128" s="25"/>
      <c r="Q128" s="25"/>
      <c r="R128" s="25"/>
      <c r="S128" s="25"/>
      <c r="T128" s="25"/>
    </row>
    <row r="129" spans="2:20" x14ac:dyDescent="0.25">
      <c r="B129" s="6"/>
      <c r="C129" s="25"/>
      <c r="D129" s="218"/>
      <c r="E129" s="194" t="s">
        <v>1283</v>
      </c>
      <c r="F129" s="8" t="s">
        <v>1384</v>
      </c>
      <c r="G129" s="8" t="s">
        <v>1207</v>
      </c>
      <c r="H129" s="25"/>
      <c r="I129" s="25"/>
      <c r="J129" s="25" t="s">
        <v>1219</v>
      </c>
      <c r="M129" s="25"/>
      <c r="N129" s="25"/>
      <c r="O129" s="25"/>
      <c r="P129" s="25"/>
      <c r="Q129" s="25"/>
      <c r="R129" s="25"/>
      <c r="S129" s="25"/>
      <c r="T129" s="25"/>
    </row>
    <row r="130" spans="2:20" x14ac:dyDescent="0.25">
      <c r="B130" s="193" t="s">
        <v>1287</v>
      </c>
      <c r="C130" s="25" t="s">
        <v>1210</v>
      </c>
      <c r="D130" s="218" t="s">
        <v>1372</v>
      </c>
      <c r="E130" s="194" t="s">
        <v>1290</v>
      </c>
      <c r="F130" s="8" t="s">
        <v>1364</v>
      </c>
      <c r="G130" s="8" t="s">
        <v>1214</v>
      </c>
      <c r="J130" s="25" t="s">
        <v>1219</v>
      </c>
      <c r="K130" s="25"/>
      <c r="L130" s="25"/>
      <c r="M130" s="25"/>
      <c r="N130" s="25"/>
      <c r="O130" s="25"/>
      <c r="P130" s="25"/>
      <c r="Q130" s="25"/>
      <c r="R130" s="25"/>
      <c r="S130" s="25"/>
      <c r="T130" s="25"/>
    </row>
    <row r="131" spans="2:20" x14ac:dyDescent="0.25">
      <c r="B131" s="193" t="s">
        <v>1285</v>
      </c>
      <c r="C131" s="25" t="s">
        <v>1209</v>
      </c>
      <c r="D131" s="218" t="s">
        <v>1373</v>
      </c>
      <c r="E131" s="194" t="s">
        <v>1289</v>
      </c>
      <c r="F131" s="8" t="s">
        <v>1385</v>
      </c>
      <c r="G131" s="8" t="s">
        <v>1213</v>
      </c>
      <c r="H131" s="192" t="s">
        <v>1219</v>
      </c>
      <c r="J131" s="25" t="s">
        <v>1219</v>
      </c>
      <c r="K131" s="25"/>
      <c r="L131" s="25"/>
      <c r="M131" s="25"/>
      <c r="N131" s="25"/>
      <c r="O131" s="25"/>
      <c r="P131" s="25"/>
      <c r="Q131" s="25"/>
      <c r="R131" s="25"/>
      <c r="S131" s="25"/>
      <c r="T131" s="25"/>
    </row>
    <row r="132" spans="2:20" x14ac:dyDescent="0.25">
      <c r="B132" s="6"/>
      <c r="C132" s="25"/>
      <c r="D132" s="218"/>
      <c r="E132" s="194" t="s">
        <v>1288</v>
      </c>
      <c r="F132" s="8" t="s">
        <v>1387</v>
      </c>
      <c r="G132" s="8" t="s">
        <v>1212</v>
      </c>
      <c r="H132" s="25"/>
      <c r="I132" s="25"/>
      <c r="J132" s="25" t="s">
        <v>1219</v>
      </c>
      <c r="K132" s="25"/>
      <c r="L132" s="25"/>
      <c r="M132" s="25"/>
      <c r="N132" s="25"/>
      <c r="O132" s="25"/>
      <c r="P132" s="25"/>
      <c r="Q132" s="25"/>
      <c r="R132" s="25"/>
      <c r="S132" s="25"/>
      <c r="T132" s="25"/>
    </row>
    <row r="133" spans="2:20" x14ac:dyDescent="0.25">
      <c r="B133" s="200"/>
      <c r="C133" s="10"/>
      <c r="D133" s="10"/>
      <c r="E133" s="196" t="s">
        <v>1286</v>
      </c>
      <c r="F133" s="201" t="s">
        <v>1386</v>
      </c>
      <c r="G133" s="220" t="s">
        <v>1211</v>
      </c>
      <c r="H133" s="25"/>
      <c r="I133" s="25"/>
      <c r="J133" s="25" t="s">
        <v>1219</v>
      </c>
      <c r="K133" s="25"/>
      <c r="L133" s="25"/>
      <c r="M133" s="25"/>
      <c r="N133" s="25"/>
      <c r="O133" s="25"/>
      <c r="P133" s="25"/>
      <c r="Q133" s="25"/>
      <c r="R133" s="25"/>
      <c r="S133" s="25"/>
      <c r="T133" s="25"/>
    </row>
    <row r="134" spans="2:20" x14ac:dyDescent="0.25">
      <c r="B134" s="25"/>
      <c r="C134" s="25"/>
      <c r="D134" s="25"/>
      <c r="E134" s="25"/>
      <c r="F134" s="192" t="s">
        <v>1219</v>
      </c>
      <c r="I134" s="25" t="s">
        <v>1219</v>
      </c>
      <c r="J134" s="25"/>
      <c r="K134" s="25"/>
      <c r="L134" s="25"/>
      <c r="M134" s="25"/>
      <c r="N134" s="25"/>
      <c r="O134" s="25"/>
      <c r="P134" s="25"/>
      <c r="Q134" s="25"/>
      <c r="R134" s="25"/>
      <c r="S134" s="25"/>
    </row>
    <row r="135" spans="2:20" x14ac:dyDescent="0.25">
      <c r="B135" s="25"/>
      <c r="C135" s="25"/>
      <c r="D135" s="25"/>
      <c r="E135" s="25"/>
      <c r="F135" s="192" t="s">
        <v>1219</v>
      </c>
      <c r="G135" s="192" t="s">
        <v>1219</v>
      </c>
      <c r="I135" s="25" t="s">
        <v>1219</v>
      </c>
      <c r="J135" s="25"/>
      <c r="K135" s="25"/>
      <c r="L135" s="25"/>
      <c r="M135" s="25"/>
      <c r="N135" s="25"/>
      <c r="O135" s="25"/>
      <c r="P135" s="25"/>
      <c r="Q135" s="25"/>
      <c r="R135" s="25"/>
      <c r="S135" s="25"/>
    </row>
    <row r="136" spans="2:20" x14ac:dyDescent="0.25">
      <c r="B136" s="257" t="s">
        <v>1493</v>
      </c>
      <c r="C136" s="258"/>
      <c r="D136" s="258"/>
      <c r="E136" s="258"/>
      <c r="F136" s="192" t="s">
        <v>1219</v>
      </c>
      <c r="G136" s="259" t="s">
        <v>1517</v>
      </c>
      <c r="H136" s="266" t="s">
        <v>1518</v>
      </c>
      <c r="I136" s="266" t="s">
        <v>1837</v>
      </c>
      <c r="J136" s="267" t="s">
        <v>1838</v>
      </c>
      <c r="K136" s="266" t="s">
        <v>1519</v>
      </c>
      <c r="L136" s="267" t="s">
        <v>1520</v>
      </c>
      <c r="M136" s="25"/>
      <c r="N136" s="25"/>
      <c r="O136" s="25"/>
      <c r="P136" s="25"/>
      <c r="Q136" s="25"/>
      <c r="R136" s="25"/>
      <c r="S136" s="25"/>
    </row>
    <row r="137" spans="2:20" x14ac:dyDescent="0.25">
      <c r="B137" s="259" t="s">
        <v>1494</v>
      </c>
      <c r="C137" s="260"/>
      <c r="D137" s="259" t="s">
        <v>1505</v>
      </c>
      <c r="E137" s="260"/>
      <c r="F137" s="192" t="s">
        <v>1219</v>
      </c>
      <c r="G137" s="261" t="s">
        <v>1521</v>
      </c>
      <c r="H137" s="258" t="s">
        <v>1522</v>
      </c>
      <c r="I137" s="258" t="s">
        <v>1841</v>
      </c>
      <c r="J137" s="262" t="s">
        <v>1848</v>
      </c>
      <c r="K137" s="258" t="s">
        <v>1523</v>
      </c>
      <c r="L137" s="262" t="s">
        <v>1524</v>
      </c>
      <c r="M137" s="25"/>
      <c r="N137" s="25"/>
      <c r="O137" s="25"/>
      <c r="P137" s="25"/>
      <c r="Q137" s="25"/>
      <c r="R137" s="25"/>
      <c r="S137" s="25"/>
    </row>
    <row r="138" spans="2:20" x14ac:dyDescent="0.25">
      <c r="B138" s="261" t="s">
        <v>1499</v>
      </c>
      <c r="C138" s="262" t="s">
        <v>1500</v>
      </c>
      <c r="D138" s="261" t="s">
        <v>1506</v>
      </c>
      <c r="E138" s="262" t="s">
        <v>1507</v>
      </c>
      <c r="F138" s="192" t="s">
        <v>1219</v>
      </c>
      <c r="G138" s="261" t="s">
        <v>1525</v>
      </c>
      <c r="H138" s="258" t="s">
        <v>1526</v>
      </c>
      <c r="I138" s="258" t="s">
        <v>1527</v>
      </c>
      <c r="J138" s="262" t="s">
        <v>1528</v>
      </c>
      <c r="K138" s="258" t="s">
        <v>1527</v>
      </c>
      <c r="L138" s="262" t="s">
        <v>1528</v>
      </c>
      <c r="Q138" s="25"/>
    </row>
    <row r="139" spans="2:20" x14ac:dyDescent="0.25">
      <c r="B139" s="261" t="s">
        <v>1496</v>
      </c>
      <c r="C139" s="262" t="s">
        <v>1498</v>
      </c>
      <c r="D139" s="261" t="s">
        <v>1508</v>
      </c>
      <c r="E139" s="262" t="s">
        <v>1509</v>
      </c>
      <c r="F139" s="192" t="s">
        <v>1219</v>
      </c>
      <c r="G139" s="261" t="s">
        <v>1529</v>
      </c>
      <c r="H139" s="258" t="s">
        <v>1530</v>
      </c>
      <c r="I139" s="258" t="s">
        <v>1531</v>
      </c>
      <c r="J139" s="262" t="s">
        <v>1532</v>
      </c>
      <c r="K139" s="258" t="s">
        <v>1531</v>
      </c>
      <c r="L139" s="262" t="s">
        <v>1532</v>
      </c>
      <c r="M139" s="192"/>
      <c r="N139" s="192"/>
      <c r="Q139" s="25"/>
    </row>
    <row r="140" spans="2:20" x14ac:dyDescent="0.25">
      <c r="B140" s="261" t="s">
        <v>1501</v>
      </c>
      <c r="C140" s="262" t="s">
        <v>1502</v>
      </c>
      <c r="D140" s="263" t="s">
        <v>1510</v>
      </c>
      <c r="E140" s="264" t="s">
        <v>1511</v>
      </c>
      <c r="F140" s="192" t="s">
        <v>1219</v>
      </c>
      <c r="G140" s="261" t="s">
        <v>1539</v>
      </c>
      <c r="H140" s="258" t="s">
        <v>1540</v>
      </c>
      <c r="I140" s="258" t="s">
        <v>1842</v>
      </c>
      <c r="J140" s="262" t="s">
        <v>1542</v>
      </c>
      <c r="K140" s="258" t="s">
        <v>1541</v>
      </c>
      <c r="L140" s="262" t="s">
        <v>1542</v>
      </c>
      <c r="M140" s="192"/>
      <c r="N140" s="192"/>
      <c r="Q140" s="25"/>
    </row>
    <row r="141" spans="2:20" x14ac:dyDescent="0.25">
      <c r="B141" s="261" t="s">
        <v>1503</v>
      </c>
      <c r="C141" s="262" t="s">
        <v>1504</v>
      </c>
      <c r="D141" s="258" t="s">
        <v>1219</v>
      </c>
      <c r="E141" s="258"/>
      <c r="F141" s="192" t="s">
        <v>1219</v>
      </c>
      <c r="G141" s="261" t="s">
        <v>1543</v>
      </c>
      <c r="H141" s="258" t="s">
        <v>1544</v>
      </c>
      <c r="I141" s="258" t="s">
        <v>1545</v>
      </c>
      <c r="J141" s="262" t="s">
        <v>1546</v>
      </c>
      <c r="K141" s="258" t="s">
        <v>1545</v>
      </c>
      <c r="L141" s="262" t="s">
        <v>1546</v>
      </c>
      <c r="M141" s="192"/>
      <c r="N141" s="192"/>
    </row>
    <row r="142" spans="2:20" x14ac:dyDescent="0.25">
      <c r="B142" s="263" t="s">
        <v>1495</v>
      </c>
      <c r="C142" s="264" t="s">
        <v>1497</v>
      </c>
      <c r="D142" s="258" t="s">
        <v>1219</v>
      </c>
      <c r="E142" s="258"/>
      <c r="F142" s="192" t="s">
        <v>1219</v>
      </c>
      <c r="G142" s="261" t="s">
        <v>1547</v>
      </c>
      <c r="H142" s="258" t="s">
        <v>1548</v>
      </c>
      <c r="I142" s="258" t="s">
        <v>1843</v>
      </c>
      <c r="J142" s="262" t="s">
        <v>1849</v>
      </c>
      <c r="K142" s="258" t="s">
        <v>1549</v>
      </c>
      <c r="L142" s="262" t="s">
        <v>1550</v>
      </c>
      <c r="M142" s="192"/>
      <c r="N142" s="192"/>
    </row>
    <row r="143" spans="2:20" x14ac:dyDescent="0.25">
      <c r="B143" s="25"/>
      <c r="C143" s="25"/>
      <c r="D143" s="227" t="s">
        <v>1219</v>
      </c>
      <c r="E143" s="25"/>
      <c r="F143" s="192" t="s">
        <v>1219</v>
      </c>
      <c r="G143" s="261" t="s">
        <v>1551</v>
      </c>
      <c r="H143" s="258" t="s">
        <v>1552</v>
      </c>
      <c r="I143" s="258" t="s">
        <v>1844</v>
      </c>
      <c r="J143" s="262" t="s">
        <v>1554</v>
      </c>
      <c r="K143" s="258" t="s">
        <v>1553</v>
      </c>
      <c r="L143" s="262" t="s">
        <v>1554</v>
      </c>
      <c r="M143" s="192"/>
      <c r="N143" s="192"/>
    </row>
    <row r="144" spans="2:20" x14ac:dyDescent="0.25">
      <c r="B144" s="25"/>
      <c r="C144" s="25"/>
      <c r="D144" s="25"/>
      <c r="E144" s="25"/>
      <c r="F144" s="192" t="s">
        <v>1219</v>
      </c>
      <c r="G144" s="261" t="s">
        <v>1555</v>
      </c>
      <c r="H144" s="258" t="s">
        <v>1556</v>
      </c>
      <c r="I144" s="258" t="s">
        <v>1845</v>
      </c>
      <c r="J144" s="262" t="s">
        <v>1558</v>
      </c>
      <c r="K144" s="258" t="s">
        <v>1557</v>
      </c>
      <c r="L144" s="262" t="s">
        <v>1558</v>
      </c>
      <c r="M144" s="192"/>
      <c r="N144" s="192"/>
    </row>
    <row r="145" spans="2:14" x14ac:dyDescent="0.25">
      <c r="B145" s="25"/>
      <c r="C145" s="25"/>
      <c r="D145" s="25"/>
      <c r="E145" s="25"/>
      <c r="F145" s="192" t="s">
        <v>1219</v>
      </c>
      <c r="G145" s="261" t="s">
        <v>722</v>
      </c>
      <c r="H145" s="258" t="s">
        <v>1533</v>
      </c>
      <c r="I145" s="258" t="s">
        <v>1534</v>
      </c>
      <c r="J145" s="262" t="s">
        <v>1535</v>
      </c>
      <c r="K145" s="258" t="s">
        <v>1534</v>
      </c>
      <c r="L145" s="262" t="s">
        <v>1535</v>
      </c>
      <c r="M145" s="192"/>
      <c r="N145" s="192"/>
    </row>
    <row r="146" spans="2:14" x14ac:dyDescent="0.25">
      <c r="B146" s="25"/>
      <c r="C146" s="25"/>
      <c r="D146" s="25"/>
      <c r="E146" s="25"/>
      <c r="F146" s="192" t="s">
        <v>1219</v>
      </c>
      <c r="G146" s="261" t="s">
        <v>1559</v>
      </c>
      <c r="H146" s="258" t="s">
        <v>1560</v>
      </c>
      <c r="I146" s="258" t="s">
        <v>1846</v>
      </c>
      <c r="J146" s="262" t="s">
        <v>1562</v>
      </c>
      <c r="K146" s="258" t="s">
        <v>1561</v>
      </c>
      <c r="L146" s="262" t="s">
        <v>1562</v>
      </c>
      <c r="M146" s="192"/>
      <c r="N146" s="192"/>
    </row>
    <row r="147" spans="2:14" x14ac:dyDescent="0.25">
      <c r="B147" s="25"/>
      <c r="C147" s="25"/>
      <c r="D147" s="25"/>
      <c r="E147" s="25"/>
      <c r="F147" s="192" t="s">
        <v>1219</v>
      </c>
      <c r="G147" s="261" t="s">
        <v>1563</v>
      </c>
      <c r="H147" s="258" t="s">
        <v>1564</v>
      </c>
      <c r="I147" s="258" t="s">
        <v>1847</v>
      </c>
      <c r="J147" s="262" t="s">
        <v>1850</v>
      </c>
      <c r="K147" s="258" t="s">
        <v>1565</v>
      </c>
      <c r="L147" s="262" t="s">
        <v>1566</v>
      </c>
      <c r="M147" s="192"/>
      <c r="N147" s="192"/>
    </row>
    <row r="148" spans="2:14" x14ac:dyDescent="0.25">
      <c r="B148" s="25"/>
      <c r="C148" s="25"/>
      <c r="D148" s="25"/>
      <c r="E148" s="25"/>
      <c r="F148" s="192" t="s">
        <v>1219</v>
      </c>
      <c r="G148" s="263" t="s">
        <v>1567</v>
      </c>
      <c r="H148" s="265" t="s">
        <v>1568</v>
      </c>
      <c r="I148" s="265" t="s">
        <v>1569</v>
      </c>
      <c r="J148" s="264" t="s">
        <v>1570</v>
      </c>
      <c r="K148" s="265" t="s">
        <v>1569</v>
      </c>
      <c r="L148" s="264" t="s">
        <v>1570</v>
      </c>
      <c r="M148" s="192"/>
      <c r="N148" s="192"/>
    </row>
    <row r="149" spans="2:14" x14ac:dyDescent="0.25">
      <c r="B149" s="25"/>
      <c r="C149" s="25"/>
      <c r="D149" s="25"/>
      <c r="E149" s="25"/>
      <c r="F149" s="192" t="s">
        <v>1219</v>
      </c>
      <c r="J149" s="194"/>
      <c r="K149" s="192"/>
      <c r="L149" s="192"/>
      <c r="M149" s="192"/>
      <c r="N149" s="192"/>
    </row>
    <row r="150" spans="2:14" x14ac:dyDescent="0.25">
      <c r="B150" s="25"/>
      <c r="C150" s="25"/>
      <c r="D150" s="25"/>
      <c r="E150" s="25"/>
      <c r="F150" s="192" t="s">
        <v>1219</v>
      </c>
      <c r="J150" s="194"/>
      <c r="K150" s="192"/>
      <c r="L150" s="192"/>
      <c r="M150" s="192"/>
      <c r="N150" s="192"/>
    </row>
    <row r="151" spans="2:14" x14ac:dyDescent="0.25">
      <c r="B151" s="25"/>
      <c r="C151" s="25"/>
      <c r="D151" s="25"/>
      <c r="E151" s="25"/>
      <c r="F151" s="192" t="s">
        <v>1219</v>
      </c>
      <c r="L151" s="192"/>
      <c r="M151" s="192"/>
      <c r="N151" s="192"/>
    </row>
    <row r="152" spans="2:14" x14ac:dyDescent="0.25">
      <c r="B152" s="25"/>
      <c r="C152" s="25"/>
      <c r="D152" s="25"/>
      <c r="E152" s="25"/>
      <c r="F152" s="192" t="s">
        <v>1219</v>
      </c>
      <c r="J152" s="194"/>
      <c r="K152" s="192"/>
      <c r="L152" s="192"/>
      <c r="M152" s="192"/>
      <c r="N152" s="192"/>
    </row>
    <row r="153" spans="2:14" x14ac:dyDescent="0.25">
      <c r="F153" s="192"/>
      <c r="J153" s="194"/>
      <c r="K153" s="192"/>
      <c r="L153" s="192"/>
      <c r="M153" s="192"/>
      <c r="N153" s="192"/>
    </row>
    <row r="154" spans="2:14" x14ac:dyDescent="0.25">
      <c r="F154" s="192"/>
      <c r="J154" s="194"/>
      <c r="K154" s="192"/>
      <c r="L154" s="192"/>
      <c r="M154" s="192"/>
      <c r="N154" s="192"/>
    </row>
    <row r="155" spans="2:14" x14ac:dyDescent="0.25">
      <c r="J155" s="194"/>
      <c r="K155" s="192"/>
      <c r="L155" s="192"/>
      <c r="M155" s="192"/>
      <c r="N155" s="192"/>
    </row>
    <row r="156" spans="2:14" x14ac:dyDescent="0.25">
      <c r="J156" s="194"/>
      <c r="K156" s="192"/>
      <c r="L156" s="192"/>
      <c r="M156" s="192"/>
      <c r="N156" s="192"/>
    </row>
    <row r="157" spans="2:14" x14ac:dyDescent="0.25">
      <c r="J157" s="194"/>
      <c r="K157" s="192"/>
      <c r="L157" s="192"/>
      <c r="M157" s="192"/>
      <c r="N157" s="192"/>
    </row>
    <row r="158" spans="2:14" x14ac:dyDescent="0.25">
      <c r="J158" s="194"/>
      <c r="K158" s="192"/>
      <c r="L158" s="192"/>
      <c r="M158" s="192"/>
      <c r="N158" s="192"/>
    </row>
    <row r="159" spans="2:14" x14ac:dyDescent="0.25">
      <c r="J159" s="194"/>
      <c r="K159" s="192"/>
      <c r="L159" s="192"/>
      <c r="M159" s="192"/>
      <c r="N159" s="192"/>
    </row>
    <row r="160" spans="2:14" x14ac:dyDescent="0.25">
      <c r="J160" s="194"/>
      <c r="K160" s="192"/>
      <c r="L160" s="192"/>
      <c r="M160" s="192"/>
      <c r="N160" s="192"/>
    </row>
    <row r="161" spans="10:14" x14ac:dyDescent="0.25">
      <c r="J161" s="194"/>
      <c r="K161" s="192"/>
      <c r="L161" s="192"/>
      <c r="M161" s="192"/>
      <c r="N161" s="192"/>
    </row>
  </sheetData>
  <sortState ref="G138:J148">
    <sortCondition ref="G137"/>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40"/>
  <sheetViews>
    <sheetView workbookViewId="0">
      <selection activeCell="D23" sqref="D23"/>
    </sheetView>
    <sheetView workbookViewId="1">
      <selection activeCell="L15" sqref="L15"/>
    </sheetView>
    <sheetView topLeftCell="A16" workbookViewId="2"/>
  </sheetViews>
  <sheetFormatPr defaultRowHeight="15" x14ac:dyDescent="0.25"/>
  <cols>
    <col min="2" max="2" width="21.28515625" customWidth="1"/>
    <col min="3" max="12" width="9.140625" customWidth="1"/>
    <col min="15" max="15" width="16.85546875" customWidth="1"/>
  </cols>
  <sheetData>
    <row r="2" spans="1:21" s="233" customFormat="1" x14ac:dyDescent="0.25">
      <c r="B2" s="1" t="s">
        <v>1770</v>
      </c>
    </row>
    <row r="3" spans="1:21" s="233" customFormat="1" x14ac:dyDescent="0.25">
      <c r="B3" s="235" t="s">
        <v>1033</v>
      </c>
      <c r="C3" s="117" t="s">
        <v>207</v>
      </c>
      <c r="D3" s="117" t="s">
        <v>208</v>
      </c>
      <c r="E3" s="117" t="s">
        <v>136</v>
      </c>
      <c r="F3" s="117" t="s">
        <v>209</v>
      </c>
      <c r="G3" s="117" t="s">
        <v>210</v>
      </c>
      <c r="H3" s="117" t="s">
        <v>1034</v>
      </c>
      <c r="I3" s="117" t="s">
        <v>1035</v>
      </c>
      <c r="J3" s="117" t="s">
        <v>138</v>
      </c>
      <c r="K3" s="117" t="s">
        <v>1036</v>
      </c>
      <c r="L3" s="117" t="s">
        <v>1037</v>
      </c>
      <c r="M3" s="117" t="s">
        <v>211</v>
      </c>
      <c r="N3" s="117" t="s">
        <v>212</v>
      </c>
      <c r="O3" s="117" t="s">
        <v>141</v>
      </c>
      <c r="P3" s="236" t="s">
        <v>142</v>
      </c>
    </row>
    <row r="4" spans="1:21" s="233" customFormat="1" x14ac:dyDescent="0.25">
      <c r="B4" s="202" t="s">
        <v>1055</v>
      </c>
      <c r="C4" s="81" t="s">
        <v>254</v>
      </c>
      <c r="D4" s="81" t="s">
        <v>255</v>
      </c>
      <c r="E4" s="248" t="s">
        <v>1677</v>
      </c>
      <c r="F4" s="81" t="s">
        <v>268</v>
      </c>
      <c r="G4" s="248" t="s">
        <v>1601</v>
      </c>
      <c r="H4" s="204" t="s">
        <v>1078</v>
      </c>
      <c r="I4" s="204" t="s">
        <v>1089</v>
      </c>
      <c r="J4" s="248" t="s">
        <v>1622</v>
      </c>
      <c r="K4" s="204" t="s">
        <v>1102</v>
      </c>
      <c r="L4" s="204" t="s">
        <v>1119</v>
      </c>
      <c r="M4" s="248" t="s">
        <v>1689</v>
      </c>
      <c r="N4" s="248" t="s">
        <v>1701</v>
      </c>
      <c r="O4" s="81" t="s">
        <v>282</v>
      </c>
      <c r="P4" s="82" t="s">
        <v>286</v>
      </c>
    </row>
    <row r="5" spans="1:21" s="233" customFormat="1" x14ac:dyDescent="0.25">
      <c r="B5" s="202" t="s">
        <v>1066</v>
      </c>
      <c r="C5" s="248" t="s">
        <v>1595</v>
      </c>
      <c r="D5" s="81" t="s">
        <v>256</v>
      </c>
      <c r="E5" s="248" t="s">
        <v>1680</v>
      </c>
      <c r="F5" s="248" t="s">
        <v>1598</v>
      </c>
      <c r="G5" s="81" t="s">
        <v>269</v>
      </c>
      <c r="H5" s="204" t="s">
        <v>1082</v>
      </c>
      <c r="I5" s="204" t="s">
        <v>1098</v>
      </c>
      <c r="J5" s="248" t="s">
        <v>1625</v>
      </c>
      <c r="K5" s="204" t="s">
        <v>1105</v>
      </c>
      <c r="L5" s="204" t="s">
        <v>1116</v>
      </c>
      <c r="M5" s="248" t="s">
        <v>1692</v>
      </c>
      <c r="N5" s="81" t="s">
        <v>278</v>
      </c>
      <c r="O5" s="81" t="s">
        <v>283</v>
      </c>
      <c r="P5" s="249" t="s">
        <v>1704</v>
      </c>
    </row>
    <row r="6" spans="1:21" s="233" customFormat="1" x14ac:dyDescent="0.25">
      <c r="B6" s="202" t="s">
        <v>1062</v>
      </c>
      <c r="C6" s="78" t="s">
        <v>264</v>
      </c>
      <c r="D6" s="248" t="s">
        <v>1610</v>
      </c>
      <c r="E6" s="248" t="s">
        <v>1683</v>
      </c>
      <c r="F6" s="78" t="s">
        <v>264</v>
      </c>
      <c r="G6" s="78" t="s">
        <v>264</v>
      </c>
      <c r="H6" s="204" t="s">
        <v>1074</v>
      </c>
      <c r="I6" s="204" t="s">
        <v>1094</v>
      </c>
      <c r="J6" s="81" t="s">
        <v>270</v>
      </c>
      <c r="K6" s="204" t="s">
        <v>1112</v>
      </c>
      <c r="L6" s="204" t="s">
        <v>1127</v>
      </c>
      <c r="M6" s="81" t="s">
        <v>274</v>
      </c>
      <c r="N6" s="248" t="s">
        <v>1707</v>
      </c>
      <c r="O6" s="248" t="s">
        <v>1628</v>
      </c>
      <c r="P6" s="82" t="s">
        <v>287</v>
      </c>
    </row>
    <row r="7" spans="1:21" s="233" customFormat="1" x14ac:dyDescent="0.25">
      <c r="B7" s="202" t="s">
        <v>1059</v>
      </c>
      <c r="C7" s="86" t="s">
        <v>265</v>
      </c>
      <c r="D7" s="81" t="s">
        <v>257</v>
      </c>
      <c r="E7" s="81" t="s">
        <v>259</v>
      </c>
      <c r="F7" s="86" t="s">
        <v>265</v>
      </c>
      <c r="G7" s="86" t="s">
        <v>265</v>
      </c>
      <c r="H7" s="204" t="s">
        <v>1071</v>
      </c>
      <c r="I7" s="204" t="s">
        <v>1086</v>
      </c>
      <c r="J7" s="248" t="s">
        <v>1626</v>
      </c>
      <c r="K7" s="204" t="s">
        <v>1109</v>
      </c>
      <c r="L7" s="204" t="s">
        <v>1123</v>
      </c>
      <c r="M7" s="248" t="s">
        <v>1695</v>
      </c>
      <c r="N7" s="81" t="s">
        <v>279</v>
      </c>
      <c r="O7" s="248" t="s">
        <v>1627</v>
      </c>
      <c r="P7" s="82" t="s">
        <v>288</v>
      </c>
    </row>
    <row r="8" spans="1:21" s="233" customFormat="1" x14ac:dyDescent="0.25">
      <c r="B8" s="6"/>
      <c r="C8" s="86" t="s">
        <v>266</v>
      </c>
      <c r="D8" s="248" t="s">
        <v>1613</v>
      </c>
      <c r="E8" s="81" t="s">
        <v>260</v>
      </c>
      <c r="F8" s="86" t="s">
        <v>266</v>
      </c>
      <c r="G8" s="86" t="s">
        <v>266</v>
      </c>
      <c r="H8" s="232"/>
      <c r="I8" s="232"/>
      <c r="J8" s="248" t="s">
        <v>1629</v>
      </c>
      <c r="K8" s="232"/>
      <c r="L8" s="232"/>
      <c r="M8" s="248" t="s">
        <v>1696</v>
      </c>
      <c r="N8" s="248" t="s">
        <v>1716</v>
      </c>
      <c r="O8" s="248" t="s">
        <v>1602</v>
      </c>
      <c r="P8" s="249" t="s">
        <v>1710</v>
      </c>
    </row>
    <row r="9" spans="1:21" s="233" customFormat="1" x14ac:dyDescent="0.25">
      <c r="B9" s="6"/>
      <c r="C9" s="253" t="s">
        <v>1592</v>
      </c>
      <c r="D9" s="81" t="s">
        <v>258</v>
      </c>
      <c r="E9" s="248" t="s">
        <v>1686</v>
      </c>
      <c r="F9" s="253" t="s">
        <v>1592</v>
      </c>
      <c r="G9" s="253" t="s">
        <v>1592</v>
      </c>
      <c r="H9" s="232"/>
      <c r="I9" s="232"/>
      <c r="J9" s="81" t="s">
        <v>271</v>
      </c>
      <c r="K9" s="232"/>
      <c r="L9" s="232"/>
      <c r="M9" s="81" t="s">
        <v>275</v>
      </c>
      <c r="N9" s="81" t="s">
        <v>280</v>
      </c>
      <c r="O9" s="81" t="s">
        <v>284</v>
      </c>
      <c r="P9" s="249" t="s">
        <v>1713</v>
      </c>
    </row>
    <row r="10" spans="1:21" s="233" customFormat="1" x14ac:dyDescent="0.25">
      <c r="B10" s="6"/>
      <c r="C10" s="98" t="s">
        <v>267</v>
      </c>
      <c r="D10" s="248" t="s">
        <v>1616</v>
      </c>
      <c r="E10" s="81" t="s">
        <v>261</v>
      </c>
      <c r="F10" s="98" t="s">
        <v>267</v>
      </c>
      <c r="G10" s="98" t="s">
        <v>267</v>
      </c>
      <c r="H10" s="232"/>
      <c r="I10" s="232"/>
      <c r="J10" s="81" t="s">
        <v>272</v>
      </c>
      <c r="K10" s="232"/>
      <c r="L10" s="232"/>
      <c r="M10" s="81" t="s">
        <v>276</v>
      </c>
      <c r="N10" s="248" t="s">
        <v>1719</v>
      </c>
      <c r="O10" s="81" t="s">
        <v>285</v>
      </c>
      <c r="P10" s="82" t="s">
        <v>289</v>
      </c>
    </row>
    <row r="11" spans="1:21" s="233" customFormat="1" x14ac:dyDescent="0.25">
      <c r="B11" s="6"/>
      <c r="C11" s="232"/>
      <c r="D11" s="248" t="s">
        <v>1619</v>
      </c>
      <c r="E11" s="81" t="s">
        <v>262</v>
      </c>
      <c r="F11" s="232"/>
      <c r="G11" s="232"/>
      <c r="H11" s="232"/>
      <c r="I11" s="232"/>
      <c r="J11" s="81" t="s">
        <v>273</v>
      </c>
      <c r="K11" s="232"/>
      <c r="L11" s="232"/>
      <c r="M11" s="81" t="s">
        <v>277</v>
      </c>
      <c r="N11" s="81" t="s">
        <v>281</v>
      </c>
      <c r="O11" s="248" t="s">
        <v>1605</v>
      </c>
      <c r="P11" s="249" t="s">
        <v>1722</v>
      </c>
    </row>
    <row r="12" spans="1:21" s="233" customFormat="1" x14ac:dyDescent="0.25">
      <c r="B12" s="230"/>
      <c r="C12" s="10"/>
      <c r="D12" s="10"/>
      <c r="E12" s="10"/>
      <c r="F12" s="10"/>
      <c r="G12" s="10"/>
      <c r="H12" s="10"/>
      <c r="I12" s="10"/>
      <c r="J12" s="395" t="s">
        <v>1630</v>
      </c>
      <c r="K12" s="10"/>
      <c r="L12" s="10"/>
      <c r="M12" s="10"/>
      <c r="N12" s="10"/>
      <c r="O12" s="10"/>
      <c r="P12" s="231"/>
    </row>
    <row r="13" spans="1:21" s="233" customFormat="1" x14ac:dyDescent="0.25"/>
    <row r="14" spans="1:21" x14ac:dyDescent="0.25">
      <c r="A14" t="s">
        <v>1219</v>
      </c>
      <c r="B14" s="74" t="s">
        <v>97</v>
      </c>
      <c r="C14" s="75"/>
      <c r="D14" s="75"/>
      <c r="E14" s="76"/>
      <c r="F14" s="76"/>
      <c r="G14" s="76"/>
      <c r="H14" s="76"/>
      <c r="I14" s="76"/>
      <c r="J14" s="76"/>
      <c r="K14" s="76"/>
      <c r="L14" s="77"/>
      <c r="M14" s="78"/>
      <c r="N14" t="s">
        <v>1219</v>
      </c>
      <c r="O14" s="51"/>
      <c r="P14" s="237"/>
      <c r="Q14" s="31"/>
      <c r="S14" s="233"/>
      <c r="T14" s="233"/>
      <c r="U14" s="233"/>
    </row>
    <row r="15" spans="1:21" x14ac:dyDescent="0.25">
      <c r="A15" s="233" t="s">
        <v>1219</v>
      </c>
      <c r="B15" s="202" t="s">
        <v>1078</v>
      </c>
      <c r="C15" s="103" t="s">
        <v>1034</v>
      </c>
      <c r="D15" s="103" t="s">
        <v>1079</v>
      </c>
      <c r="E15" s="103" t="s">
        <v>157</v>
      </c>
      <c r="F15" s="103" t="s">
        <v>1080</v>
      </c>
      <c r="G15" s="124" t="s">
        <v>101</v>
      </c>
      <c r="H15" s="103" t="s">
        <v>95</v>
      </c>
      <c r="I15" s="103" t="s">
        <v>213</v>
      </c>
      <c r="J15" s="103" t="s">
        <v>214</v>
      </c>
      <c r="K15" s="103" t="s">
        <v>221</v>
      </c>
      <c r="L15" s="125" t="s">
        <v>222</v>
      </c>
      <c r="M15" s="84" t="s">
        <v>1081</v>
      </c>
      <c r="N15" s="268" t="s">
        <v>1219</v>
      </c>
      <c r="O15" s="229"/>
      <c r="P15" s="229"/>
      <c r="Q15" s="229"/>
      <c r="S15" s="233"/>
      <c r="T15" s="233"/>
      <c r="U15" s="233"/>
    </row>
    <row r="16" spans="1:21" x14ac:dyDescent="0.25">
      <c r="A16" s="233" t="s">
        <v>1219</v>
      </c>
      <c r="B16" s="80" t="s">
        <v>255</v>
      </c>
      <c r="C16" s="103" t="s">
        <v>208</v>
      </c>
      <c r="D16" s="103" t="s">
        <v>343</v>
      </c>
      <c r="E16" s="103" t="s">
        <v>150</v>
      </c>
      <c r="F16" s="103" t="s">
        <v>2</v>
      </c>
      <c r="G16" s="124" t="s">
        <v>101</v>
      </c>
      <c r="H16" s="103" t="s">
        <v>213</v>
      </c>
      <c r="I16" s="103" t="s">
        <v>216</v>
      </c>
      <c r="J16" s="103" t="s">
        <v>220</v>
      </c>
      <c r="K16" s="103" t="s">
        <v>221</v>
      </c>
      <c r="L16" s="125" t="s">
        <v>222</v>
      </c>
      <c r="M16" s="84" t="s">
        <v>472</v>
      </c>
      <c r="N16" s="268" t="s">
        <v>1219</v>
      </c>
      <c r="O16" s="229"/>
      <c r="P16" s="229"/>
      <c r="Q16" s="229"/>
      <c r="S16" s="233"/>
      <c r="T16" s="233"/>
      <c r="U16" s="233"/>
    </row>
    <row r="17" spans="1:21" x14ac:dyDescent="0.25">
      <c r="A17" s="233" t="s">
        <v>1219</v>
      </c>
      <c r="B17" s="80" t="s">
        <v>256</v>
      </c>
      <c r="C17" s="103" t="s">
        <v>208</v>
      </c>
      <c r="D17" s="103" t="s">
        <v>344</v>
      </c>
      <c r="E17" s="103" t="s">
        <v>204</v>
      </c>
      <c r="F17" s="103" t="s">
        <v>6</v>
      </c>
      <c r="G17" s="124" t="s">
        <v>101</v>
      </c>
      <c r="H17" s="103" t="s">
        <v>94</v>
      </c>
      <c r="I17" s="103" t="s">
        <v>96</v>
      </c>
      <c r="J17" s="103" t="s">
        <v>213</v>
      </c>
      <c r="K17" s="103" t="s">
        <v>216</v>
      </c>
      <c r="L17" s="125" t="s">
        <v>220</v>
      </c>
      <c r="M17" s="84" t="s">
        <v>473</v>
      </c>
      <c r="N17" s="268" t="s">
        <v>1219</v>
      </c>
      <c r="O17" s="229"/>
      <c r="P17" s="229"/>
      <c r="Q17" s="229"/>
      <c r="S17" s="233"/>
      <c r="T17" s="233"/>
      <c r="U17" s="233"/>
    </row>
    <row r="18" spans="1:21" x14ac:dyDescent="0.25">
      <c r="A18" s="233" t="s">
        <v>1219</v>
      </c>
      <c r="B18" s="247" t="s">
        <v>1677</v>
      </c>
      <c r="C18" s="103" t="s">
        <v>136</v>
      </c>
      <c r="D18" s="103" t="s">
        <v>1679</v>
      </c>
      <c r="E18" s="103" t="s">
        <v>133</v>
      </c>
      <c r="F18" s="103" t="s">
        <v>194</v>
      </c>
      <c r="G18" s="124" t="s">
        <v>2</v>
      </c>
      <c r="H18" s="103" t="s">
        <v>94</v>
      </c>
      <c r="I18" s="103" t="s">
        <v>95</v>
      </c>
      <c r="J18" s="103" t="s">
        <v>213</v>
      </c>
      <c r="K18" s="103" t="s">
        <v>216</v>
      </c>
      <c r="L18" s="125" t="s">
        <v>218</v>
      </c>
      <c r="M18" s="84" t="s">
        <v>1678</v>
      </c>
      <c r="N18" s="268" t="s">
        <v>1219</v>
      </c>
      <c r="O18" s="229"/>
      <c r="P18" s="229"/>
      <c r="Q18" s="229"/>
      <c r="S18" s="233"/>
      <c r="T18" s="233"/>
      <c r="U18" s="233"/>
    </row>
    <row r="19" spans="1:21" x14ac:dyDescent="0.25">
      <c r="A19" s="233" t="s">
        <v>1219</v>
      </c>
      <c r="B19" s="80" t="s">
        <v>98</v>
      </c>
      <c r="C19" s="103" t="s">
        <v>290</v>
      </c>
      <c r="D19" s="103" t="s">
        <v>304</v>
      </c>
      <c r="E19" s="103" t="s">
        <v>191</v>
      </c>
      <c r="F19" s="103" t="s">
        <v>162</v>
      </c>
      <c r="G19" s="124" t="s">
        <v>101</v>
      </c>
      <c r="H19" s="103" t="s">
        <v>94</v>
      </c>
      <c r="I19" s="103" t="s">
        <v>96</v>
      </c>
      <c r="J19" s="103" t="s">
        <v>216</v>
      </c>
      <c r="K19" s="103" t="s">
        <v>220</v>
      </c>
      <c r="L19" s="125" t="s">
        <v>222</v>
      </c>
      <c r="M19" s="84" t="s">
        <v>445</v>
      </c>
      <c r="N19" s="268" t="s">
        <v>1219</v>
      </c>
      <c r="O19" s="229"/>
      <c r="P19" s="229"/>
      <c r="Q19" s="229"/>
      <c r="S19" s="233"/>
      <c r="T19" s="233"/>
      <c r="U19" s="233"/>
    </row>
    <row r="20" spans="1:21" x14ac:dyDescent="0.25">
      <c r="A20" s="233" t="s">
        <v>1219</v>
      </c>
      <c r="B20" s="80" t="s">
        <v>99</v>
      </c>
      <c r="C20" s="103" t="s">
        <v>290</v>
      </c>
      <c r="D20" s="103" t="s">
        <v>305</v>
      </c>
      <c r="E20" s="103" t="s">
        <v>188</v>
      </c>
      <c r="F20" s="103" t="s">
        <v>159</v>
      </c>
      <c r="G20" s="124" t="s">
        <v>101</v>
      </c>
      <c r="H20" s="103" t="s">
        <v>93</v>
      </c>
      <c r="I20" s="103" t="s">
        <v>96</v>
      </c>
      <c r="J20" s="103" t="s">
        <v>213</v>
      </c>
      <c r="K20" s="103" t="s">
        <v>218</v>
      </c>
      <c r="L20" s="125" t="s">
        <v>220</v>
      </c>
      <c r="M20" s="84" t="s">
        <v>446</v>
      </c>
      <c r="N20" s="268" t="s">
        <v>1219</v>
      </c>
      <c r="O20" s="229"/>
      <c r="P20" s="229"/>
      <c r="Q20" s="229"/>
      <c r="S20" s="233"/>
      <c r="T20" s="233"/>
      <c r="U20" s="233"/>
    </row>
    <row r="21" spans="1:21" x14ac:dyDescent="0.25">
      <c r="A21" s="233" t="s">
        <v>1219</v>
      </c>
      <c r="B21" s="80" t="s">
        <v>225</v>
      </c>
      <c r="C21" s="103" t="s">
        <v>290</v>
      </c>
      <c r="D21" s="103" t="s">
        <v>306</v>
      </c>
      <c r="E21" s="103" t="s">
        <v>149</v>
      </c>
      <c r="F21" s="103" t="s">
        <v>3</v>
      </c>
      <c r="G21" s="124" t="s">
        <v>101</v>
      </c>
      <c r="H21" s="103" t="s">
        <v>93</v>
      </c>
      <c r="I21" s="103" t="s">
        <v>94</v>
      </c>
      <c r="J21" s="103" t="s">
        <v>215</v>
      </c>
      <c r="K21" s="103" t="s">
        <v>218</v>
      </c>
      <c r="L21" s="125" t="s">
        <v>223</v>
      </c>
      <c r="M21" s="84" t="s">
        <v>447</v>
      </c>
      <c r="N21" s="268" t="s">
        <v>1219</v>
      </c>
      <c r="O21" s="229"/>
      <c r="P21" s="229"/>
      <c r="Q21" s="229"/>
      <c r="S21" s="233"/>
      <c r="T21" s="233"/>
      <c r="U21" s="233"/>
    </row>
    <row r="22" spans="1:21" x14ac:dyDescent="0.25">
      <c r="A22" s="233" t="s">
        <v>1219</v>
      </c>
      <c r="B22" s="80" t="s">
        <v>226</v>
      </c>
      <c r="C22" s="103" t="s">
        <v>290</v>
      </c>
      <c r="D22" s="103" t="s">
        <v>307</v>
      </c>
      <c r="E22" s="103" t="s">
        <v>182</v>
      </c>
      <c r="F22" s="103" t="s">
        <v>164</v>
      </c>
      <c r="G22" s="124" t="s">
        <v>101</v>
      </c>
      <c r="H22" s="103" t="s">
        <v>96</v>
      </c>
      <c r="I22" s="103" t="s">
        <v>213</v>
      </c>
      <c r="J22" s="103" t="s">
        <v>217</v>
      </c>
      <c r="K22" s="103" t="s">
        <v>218</v>
      </c>
      <c r="L22" s="125" t="s">
        <v>221</v>
      </c>
      <c r="M22" s="84" t="s">
        <v>433</v>
      </c>
      <c r="N22" s="268" t="s">
        <v>1219</v>
      </c>
      <c r="O22" s="229"/>
      <c r="P22" s="229"/>
      <c r="Q22" s="229"/>
    </row>
    <row r="23" spans="1:21" x14ac:dyDescent="0.25">
      <c r="A23" s="233" t="s">
        <v>1219</v>
      </c>
      <c r="B23" s="80" t="s">
        <v>227</v>
      </c>
      <c r="C23" s="103" t="s">
        <v>290</v>
      </c>
      <c r="D23" s="103" t="s">
        <v>308</v>
      </c>
      <c r="E23" s="103" t="s">
        <v>165</v>
      </c>
      <c r="F23" s="103" t="s">
        <v>185</v>
      </c>
      <c r="G23" s="124" t="s">
        <v>101</v>
      </c>
      <c r="H23" s="103" t="s">
        <v>94</v>
      </c>
      <c r="I23" s="103" t="s">
        <v>213</v>
      </c>
      <c r="J23" s="103" t="s">
        <v>214</v>
      </c>
      <c r="K23" s="103" t="s">
        <v>215</v>
      </c>
      <c r="L23" s="125" t="s">
        <v>224</v>
      </c>
      <c r="M23" s="84" t="s">
        <v>448</v>
      </c>
      <c r="N23" s="268" t="s">
        <v>1219</v>
      </c>
      <c r="O23" s="229"/>
      <c r="P23" s="229"/>
      <c r="Q23" s="229"/>
    </row>
    <row r="24" spans="1:21" x14ac:dyDescent="0.25">
      <c r="A24" s="233" t="s">
        <v>1219</v>
      </c>
      <c r="B24" s="202" t="s">
        <v>1039</v>
      </c>
      <c r="C24" s="103" t="s">
        <v>290</v>
      </c>
      <c r="D24" s="103" t="s">
        <v>1041</v>
      </c>
      <c r="E24" s="103" t="s">
        <v>1042</v>
      </c>
      <c r="F24" s="103" t="s">
        <v>1043</v>
      </c>
      <c r="G24" s="124" t="s">
        <v>101</v>
      </c>
      <c r="H24" s="103" t="s">
        <v>215</v>
      </c>
      <c r="I24" s="103" t="s">
        <v>219</v>
      </c>
      <c r="J24" s="103" t="s">
        <v>222</v>
      </c>
      <c r="K24" s="103" t="s">
        <v>223</v>
      </c>
      <c r="L24" s="125" t="s">
        <v>224</v>
      </c>
      <c r="M24" s="84" t="s">
        <v>1040</v>
      </c>
      <c r="N24" s="268" t="s">
        <v>1219</v>
      </c>
      <c r="O24" s="103"/>
      <c r="P24" s="229"/>
      <c r="Q24" s="229"/>
    </row>
    <row r="25" spans="1:21" x14ac:dyDescent="0.25">
      <c r="A25" s="233" t="s">
        <v>1219</v>
      </c>
      <c r="B25" s="247" t="s">
        <v>1622</v>
      </c>
      <c r="C25" s="103" t="s">
        <v>138</v>
      </c>
      <c r="D25" s="103" t="s">
        <v>1624</v>
      </c>
      <c r="E25" s="103" t="s">
        <v>158</v>
      </c>
      <c r="F25" s="103" t="s">
        <v>3</v>
      </c>
      <c r="G25" s="124" t="s">
        <v>1582</v>
      </c>
      <c r="H25" s="103" t="s">
        <v>93</v>
      </c>
      <c r="I25" s="103" t="s">
        <v>95</v>
      </c>
      <c r="J25" s="103" t="s">
        <v>213</v>
      </c>
      <c r="K25" s="103" t="s">
        <v>215</v>
      </c>
      <c r="L25" s="125" t="s">
        <v>216</v>
      </c>
      <c r="M25" s="84" t="s">
        <v>1623</v>
      </c>
      <c r="N25" s="268" t="s">
        <v>1219</v>
      </c>
      <c r="O25" s="103"/>
      <c r="P25" s="229"/>
      <c r="Q25" s="229"/>
    </row>
    <row r="26" spans="1:21" x14ac:dyDescent="0.25">
      <c r="A26" s="233" t="s">
        <v>1219</v>
      </c>
      <c r="B26" s="80" t="s">
        <v>264</v>
      </c>
      <c r="C26" s="103" t="s">
        <v>263</v>
      </c>
      <c r="D26" s="103" t="s">
        <v>336</v>
      </c>
      <c r="E26" s="103" t="s">
        <v>11</v>
      </c>
      <c r="F26" s="103" t="s">
        <v>206</v>
      </c>
      <c r="G26" s="103" t="s">
        <v>1</v>
      </c>
      <c r="H26" s="103" t="s">
        <v>93</v>
      </c>
      <c r="I26" s="103" t="s">
        <v>96</v>
      </c>
      <c r="J26" s="103" t="s">
        <v>213</v>
      </c>
      <c r="K26" s="103" t="s">
        <v>217</v>
      </c>
      <c r="L26" s="125" t="s">
        <v>218</v>
      </c>
      <c r="M26" s="84" t="s">
        <v>465</v>
      </c>
      <c r="N26" s="268" t="s">
        <v>1219</v>
      </c>
      <c r="O26" s="103"/>
      <c r="P26" s="229"/>
      <c r="Q26" s="229"/>
    </row>
    <row r="27" spans="1:21" x14ac:dyDescent="0.25">
      <c r="A27" s="233" t="s">
        <v>1219</v>
      </c>
      <c r="B27" s="80" t="s">
        <v>282</v>
      </c>
      <c r="C27" s="103" t="s">
        <v>141</v>
      </c>
      <c r="D27" s="103" t="s">
        <v>361</v>
      </c>
      <c r="E27" s="103" t="s">
        <v>170</v>
      </c>
      <c r="F27" s="103" t="s">
        <v>1</v>
      </c>
      <c r="G27" s="124" t="s">
        <v>101</v>
      </c>
      <c r="H27" s="103" t="s">
        <v>95</v>
      </c>
      <c r="I27" s="103" t="s">
        <v>215</v>
      </c>
      <c r="J27" s="103" t="s">
        <v>219</v>
      </c>
      <c r="K27" s="103" t="s">
        <v>223</v>
      </c>
      <c r="L27" s="125" t="s">
        <v>224</v>
      </c>
      <c r="M27" s="84" t="s">
        <v>442</v>
      </c>
      <c r="N27" s="268" t="s">
        <v>1219</v>
      </c>
      <c r="O27" s="103"/>
      <c r="P27" s="229"/>
      <c r="Q27" s="229"/>
    </row>
    <row r="28" spans="1:21" x14ac:dyDescent="0.25">
      <c r="A28" s="233" t="s">
        <v>1219</v>
      </c>
      <c r="B28" s="247" t="s">
        <v>1680</v>
      </c>
      <c r="C28" s="103" t="s">
        <v>136</v>
      </c>
      <c r="D28" s="103" t="s">
        <v>1682</v>
      </c>
      <c r="E28" s="103" t="s">
        <v>1675</v>
      </c>
      <c r="F28" s="103"/>
      <c r="G28" s="124"/>
      <c r="H28" s="103" t="s">
        <v>94</v>
      </c>
      <c r="I28" s="103" t="s">
        <v>213</v>
      </c>
      <c r="J28" s="103" t="s">
        <v>214</v>
      </c>
      <c r="K28" s="103" t="s">
        <v>218</v>
      </c>
      <c r="L28" s="125" t="s">
        <v>222</v>
      </c>
      <c r="M28" s="84" t="s">
        <v>1681</v>
      </c>
      <c r="N28" s="268" t="s">
        <v>1219</v>
      </c>
      <c r="O28" s="103"/>
      <c r="P28" s="229"/>
      <c r="Q28" s="229"/>
    </row>
    <row r="29" spans="1:21" x14ac:dyDescent="0.25">
      <c r="A29" s="233" t="s">
        <v>1219</v>
      </c>
      <c r="B29" s="202" t="s">
        <v>1119</v>
      </c>
      <c r="C29" s="103" t="s">
        <v>1037</v>
      </c>
      <c r="D29" s="103" t="s">
        <v>1120</v>
      </c>
      <c r="E29" s="103" t="s">
        <v>1122</v>
      </c>
      <c r="F29" s="103" t="s">
        <v>3</v>
      </c>
      <c r="G29" s="124" t="s">
        <v>101</v>
      </c>
      <c r="H29" s="103" t="s">
        <v>96</v>
      </c>
      <c r="I29" s="103" t="s">
        <v>213</v>
      </c>
      <c r="J29" s="103" t="s">
        <v>217</v>
      </c>
      <c r="K29" s="103" t="s">
        <v>220</v>
      </c>
      <c r="L29" s="125" t="s">
        <v>219</v>
      </c>
      <c r="M29" s="84" t="s">
        <v>1121</v>
      </c>
      <c r="N29" s="268" t="s">
        <v>1219</v>
      </c>
      <c r="O29" s="103"/>
      <c r="P29" s="229"/>
      <c r="Q29" s="229"/>
    </row>
    <row r="30" spans="1:21" x14ac:dyDescent="0.25">
      <c r="A30" s="233" t="s">
        <v>1219</v>
      </c>
      <c r="B30" s="247" t="s">
        <v>1701</v>
      </c>
      <c r="C30" s="103" t="s">
        <v>212</v>
      </c>
      <c r="D30" s="103" t="s">
        <v>1702</v>
      </c>
      <c r="E30" s="103" t="s">
        <v>1662</v>
      </c>
      <c r="F30" s="103" t="s">
        <v>133</v>
      </c>
      <c r="G30" s="124"/>
      <c r="H30" s="103" t="s">
        <v>94</v>
      </c>
      <c r="I30" s="103" t="s">
        <v>95</v>
      </c>
      <c r="J30" s="103" t="s">
        <v>214</v>
      </c>
      <c r="K30" s="103" t="s">
        <v>215</v>
      </c>
      <c r="L30" s="125" t="s">
        <v>217</v>
      </c>
      <c r="M30" s="84" t="s">
        <v>1703</v>
      </c>
      <c r="N30" s="268" t="s">
        <v>1219</v>
      </c>
      <c r="O30" s="103"/>
      <c r="P30" s="229"/>
      <c r="Q30" s="229"/>
    </row>
    <row r="31" spans="1:21" x14ac:dyDescent="0.25">
      <c r="A31" s="233" t="s">
        <v>1219</v>
      </c>
      <c r="B31" s="202" t="s">
        <v>1116</v>
      </c>
      <c r="C31" s="103" t="s">
        <v>1037</v>
      </c>
      <c r="D31" s="103" t="s">
        <v>1117</v>
      </c>
      <c r="E31" s="103" t="s">
        <v>176</v>
      </c>
      <c r="F31" s="103" t="s">
        <v>3</v>
      </c>
      <c r="G31" s="124" t="s">
        <v>101</v>
      </c>
      <c r="H31" s="103" t="s">
        <v>93</v>
      </c>
      <c r="I31" s="103" t="s">
        <v>96</v>
      </c>
      <c r="J31" s="103" t="s">
        <v>215</v>
      </c>
      <c r="K31" s="103" t="s">
        <v>221</v>
      </c>
      <c r="L31" s="125" t="s">
        <v>224</v>
      </c>
      <c r="M31" s="84" t="s">
        <v>1118</v>
      </c>
      <c r="N31" s="268" t="s">
        <v>1219</v>
      </c>
      <c r="O31" s="103"/>
      <c r="P31" s="229"/>
      <c r="Q31" s="229"/>
    </row>
    <row r="32" spans="1:21" x14ac:dyDescent="0.25">
      <c r="A32" s="233" t="s">
        <v>1219</v>
      </c>
      <c r="B32" s="247" t="s">
        <v>1610</v>
      </c>
      <c r="C32" s="103" t="s">
        <v>208</v>
      </c>
      <c r="D32" s="103" t="s">
        <v>1612</v>
      </c>
      <c r="E32" s="103" t="s">
        <v>194</v>
      </c>
      <c r="F32" s="103" t="s">
        <v>194</v>
      </c>
      <c r="G32" s="124" t="s">
        <v>2</v>
      </c>
      <c r="H32" s="103" t="s">
        <v>96</v>
      </c>
      <c r="I32" s="103" t="s">
        <v>213</v>
      </c>
      <c r="J32" s="103" t="s">
        <v>214</v>
      </c>
      <c r="K32" s="103" t="s">
        <v>216</v>
      </c>
      <c r="L32" s="125" t="s">
        <v>220</v>
      </c>
      <c r="M32" s="84" t="s">
        <v>1611</v>
      </c>
      <c r="N32" s="268" t="s">
        <v>1219</v>
      </c>
      <c r="O32" s="103"/>
      <c r="P32" s="229"/>
      <c r="Q32" s="229"/>
    </row>
    <row r="33" spans="1:17" x14ac:dyDescent="0.25">
      <c r="A33" s="233" t="s">
        <v>1219</v>
      </c>
      <c r="B33" s="80" t="s">
        <v>286</v>
      </c>
      <c r="C33" s="103" t="s">
        <v>142</v>
      </c>
      <c r="D33" s="103" t="s">
        <v>365</v>
      </c>
      <c r="E33" s="103" t="s">
        <v>184</v>
      </c>
      <c r="F33" s="103" t="s">
        <v>170</v>
      </c>
      <c r="G33" s="124" t="s">
        <v>101</v>
      </c>
      <c r="H33" s="103" t="s">
        <v>94</v>
      </c>
      <c r="I33" s="103" t="s">
        <v>213</v>
      </c>
      <c r="J33" s="103" t="s">
        <v>215</v>
      </c>
      <c r="K33" s="103" t="s">
        <v>216</v>
      </c>
      <c r="L33" s="125" t="s">
        <v>224</v>
      </c>
      <c r="M33" s="84" t="s">
        <v>492</v>
      </c>
      <c r="N33" s="268" t="s">
        <v>1219</v>
      </c>
      <c r="O33" s="103"/>
      <c r="P33" s="229"/>
      <c r="Q33" s="229"/>
    </row>
    <row r="34" spans="1:17" x14ac:dyDescent="0.25">
      <c r="A34" s="233" t="s">
        <v>1219</v>
      </c>
      <c r="B34" s="247" t="s">
        <v>1704</v>
      </c>
      <c r="C34" s="103" t="s">
        <v>142</v>
      </c>
      <c r="D34" s="103" t="s">
        <v>1705</v>
      </c>
      <c r="E34" s="103" t="s">
        <v>1051</v>
      </c>
      <c r="F34" s="103" t="s">
        <v>1658</v>
      </c>
      <c r="G34" s="124" t="s">
        <v>7</v>
      </c>
      <c r="H34" s="103" t="s">
        <v>93</v>
      </c>
      <c r="I34" s="103" t="s">
        <v>96</v>
      </c>
      <c r="J34" s="103" t="s">
        <v>213</v>
      </c>
      <c r="K34" s="103" t="s">
        <v>215</v>
      </c>
      <c r="L34" s="125" t="s">
        <v>219</v>
      </c>
      <c r="M34" s="84" t="s">
        <v>1706</v>
      </c>
      <c r="N34" s="268" t="s">
        <v>1219</v>
      </c>
      <c r="O34" s="103"/>
      <c r="P34" s="229"/>
      <c r="Q34" s="229"/>
    </row>
    <row r="35" spans="1:17" x14ac:dyDescent="0.25">
      <c r="A35" s="233" t="s">
        <v>1219</v>
      </c>
      <c r="B35" s="80" t="s">
        <v>228</v>
      </c>
      <c r="C35" s="103" t="s">
        <v>290</v>
      </c>
      <c r="D35" s="103" t="s">
        <v>309</v>
      </c>
      <c r="E35" s="103" t="s">
        <v>154</v>
      </c>
      <c r="F35" s="103" t="s">
        <v>171</v>
      </c>
      <c r="G35" s="124" t="s">
        <v>101</v>
      </c>
      <c r="H35" s="103" t="s">
        <v>215</v>
      </c>
      <c r="I35" s="103" t="s">
        <v>216</v>
      </c>
      <c r="J35" s="103" t="s">
        <v>218</v>
      </c>
      <c r="K35" s="103" t="s">
        <v>223</v>
      </c>
      <c r="L35" s="125" t="s">
        <v>224</v>
      </c>
      <c r="M35" s="84" t="s">
        <v>449</v>
      </c>
      <c r="N35" s="268" t="s">
        <v>1219</v>
      </c>
      <c r="O35" s="103"/>
      <c r="P35" s="229"/>
      <c r="Q35" s="229"/>
    </row>
    <row r="36" spans="1:17" x14ac:dyDescent="0.25">
      <c r="A36" s="233" t="s">
        <v>1219</v>
      </c>
      <c r="B36" s="202" t="s">
        <v>1089</v>
      </c>
      <c r="C36" s="103" t="s">
        <v>1035</v>
      </c>
      <c r="D36" s="103" t="s">
        <v>1090</v>
      </c>
      <c r="E36" s="103" t="s">
        <v>1091</v>
      </c>
      <c r="F36" s="103" t="s">
        <v>1092</v>
      </c>
      <c r="G36" s="124" t="s">
        <v>101</v>
      </c>
      <c r="H36" s="103" t="s">
        <v>96</v>
      </c>
      <c r="I36" s="103" t="s">
        <v>217</v>
      </c>
      <c r="J36" s="103" t="s">
        <v>221</v>
      </c>
      <c r="K36" s="103" t="s">
        <v>222</v>
      </c>
      <c r="L36" s="125" t="s">
        <v>224</v>
      </c>
      <c r="M36" s="84" t="s">
        <v>1093</v>
      </c>
      <c r="N36" s="268" t="s">
        <v>1219</v>
      </c>
      <c r="O36" s="103"/>
      <c r="P36" s="229"/>
      <c r="Q36" s="229"/>
    </row>
    <row r="37" spans="1:17" x14ac:dyDescent="0.25">
      <c r="A37" s="233" t="s">
        <v>1219</v>
      </c>
      <c r="B37" s="202" t="s">
        <v>1044</v>
      </c>
      <c r="C37" s="103" t="s">
        <v>290</v>
      </c>
      <c r="D37" s="103" t="s">
        <v>1046</v>
      </c>
      <c r="E37" s="103" t="s">
        <v>160</v>
      </c>
      <c r="F37" s="103" t="s">
        <v>205</v>
      </c>
      <c r="G37" s="124" t="s">
        <v>101</v>
      </c>
      <c r="H37" s="103" t="s">
        <v>94</v>
      </c>
      <c r="I37" s="103" t="s">
        <v>95</v>
      </c>
      <c r="J37" s="103" t="s">
        <v>214</v>
      </c>
      <c r="K37" s="103" t="s">
        <v>216</v>
      </c>
      <c r="L37" s="125" t="s">
        <v>222</v>
      </c>
      <c r="M37" s="84" t="s">
        <v>1045</v>
      </c>
      <c r="N37" s="268" t="s">
        <v>1219</v>
      </c>
      <c r="O37" s="103"/>
      <c r="P37" s="229"/>
      <c r="Q37" s="229"/>
    </row>
    <row r="38" spans="1:17" x14ac:dyDescent="0.25">
      <c r="A38" s="233" t="s">
        <v>1219</v>
      </c>
      <c r="B38" s="80" t="s">
        <v>287</v>
      </c>
      <c r="C38" s="103" t="s">
        <v>142</v>
      </c>
      <c r="D38" s="103" t="s">
        <v>366</v>
      </c>
      <c r="E38" s="103" t="s">
        <v>301</v>
      </c>
      <c r="F38" s="103" t="s">
        <v>198</v>
      </c>
      <c r="G38" s="124" t="s">
        <v>101</v>
      </c>
      <c r="H38" s="103" t="s">
        <v>96</v>
      </c>
      <c r="I38" s="103" t="s">
        <v>213</v>
      </c>
      <c r="J38" s="103" t="s">
        <v>216</v>
      </c>
      <c r="K38" s="103" t="s">
        <v>218</v>
      </c>
      <c r="L38" s="125" t="s">
        <v>221</v>
      </c>
      <c r="M38" s="84" t="s">
        <v>443</v>
      </c>
      <c r="N38" s="268" t="s">
        <v>1219</v>
      </c>
      <c r="O38" s="103"/>
      <c r="P38" s="229"/>
      <c r="Q38" s="229"/>
    </row>
    <row r="39" spans="1:17" x14ac:dyDescent="0.25">
      <c r="A39" s="233" t="s">
        <v>1219</v>
      </c>
      <c r="B39" s="80" t="s">
        <v>278</v>
      </c>
      <c r="C39" s="103" t="s">
        <v>212</v>
      </c>
      <c r="D39" s="103" t="s">
        <v>357</v>
      </c>
      <c r="E39" s="103" t="s">
        <v>199</v>
      </c>
      <c r="F39" s="103" t="s">
        <v>187</v>
      </c>
      <c r="G39" s="124" t="s">
        <v>101</v>
      </c>
      <c r="H39" s="103" t="s">
        <v>95</v>
      </c>
      <c r="I39" s="103" t="s">
        <v>215</v>
      </c>
      <c r="J39" s="103" t="s">
        <v>216</v>
      </c>
      <c r="K39" s="103" t="s">
        <v>218</v>
      </c>
      <c r="L39" s="125" t="s">
        <v>224</v>
      </c>
      <c r="M39" s="84" t="s">
        <v>486</v>
      </c>
      <c r="N39" s="268" t="s">
        <v>1219</v>
      </c>
      <c r="O39" s="103"/>
      <c r="P39" s="229"/>
      <c r="Q39" s="229"/>
    </row>
    <row r="40" spans="1:17" x14ac:dyDescent="0.25">
      <c r="A40" s="233" t="s">
        <v>1219</v>
      </c>
      <c r="B40" s="80" t="s">
        <v>546</v>
      </c>
      <c r="C40" s="103" t="s">
        <v>290</v>
      </c>
      <c r="D40" s="103" t="s">
        <v>310</v>
      </c>
      <c r="E40" s="103" t="s">
        <v>151</v>
      </c>
      <c r="F40" s="103" t="s">
        <v>167</v>
      </c>
      <c r="G40" s="124" t="s">
        <v>101</v>
      </c>
      <c r="H40" s="103" t="s">
        <v>213</v>
      </c>
      <c r="I40" s="103" t="s">
        <v>217</v>
      </c>
      <c r="J40" s="103" t="s">
        <v>218</v>
      </c>
      <c r="K40" s="103" t="s">
        <v>221</v>
      </c>
      <c r="L40" s="125" t="s">
        <v>224</v>
      </c>
      <c r="M40" s="84" t="s">
        <v>450</v>
      </c>
      <c r="N40" s="268" t="s">
        <v>1219</v>
      </c>
      <c r="O40" s="103"/>
      <c r="P40" s="229"/>
      <c r="Q40" s="229"/>
    </row>
    <row r="41" spans="1:17" x14ac:dyDescent="0.25">
      <c r="A41" s="233" t="s">
        <v>1219</v>
      </c>
      <c r="B41" s="80" t="s">
        <v>229</v>
      </c>
      <c r="C41" s="103" t="s">
        <v>290</v>
      </c>
      <c r="D41" s="103" t="s">
        <v>311</v>
      </c>
      <c r="E41" s="103" t="s">
        <v>178</v>
      </c>
      <c r="F41" s="103" t="s">
        <v>169</v>
      </c>
      <c r="G41" s="124" t="s">
        <v>101</v>
      </c>
      <c r="H41" s="103" t="s">
        <v>94</v>
      </c>
      <c r="I41" s="103" t="s">
        <v>96</v>
      </c>
      <c r="J41" s="103" t="s">
        <v>216</v>
      </c>
      <c r="K41" s="103" t="s">
        <v>217</v>
      </c>
      <c r="L41" s="125" t="s">
        <v>220</v>
      </c>
      <c r="M41" s="84" t="s">
        <v>434</v>
      </c>
      <c r="N41" s="268" t="s">
        <v>1219</v>
      </c>
      <c r="O41" s="103"/>
      <c r="P41" s="229"/>
      <c r="Q41" s="229"/>
    </row>
    <row r="42" spans="1:17" x14ac:dyDescent="0.25">
      <c r="A42" s="233" t="s">
        <v>1219</v>
      </c>
      <c r="B42" s="80" t="s">
        <v>230</v>
      </c>
      <c r="C42" s="103" t="s">
        <v>290</v>
      </c>
      <c r="D42" s="103" t="s">
        <v>312</v>
      </c>
      <c r="E42" s="103" t="s">
        <v>291</v>
      </c>
      <c r="F42" s="103" t="s">
        <v>198</v>
      </c>
      <c r="G42" s="124" t="s">
        <v>101</v>
      </c>
      <c r="H42" s="103" t="s">
        <v>94</v>
      </c>
      <c r="I42" s="103" t="s">
        <v>213</v>
      </c>
      <c r="J42" s="103" t="s">
        <v>214</v>
      </c>
      <c r="K42" s="103" t="s">
        <v>215</v>
      </c>
      <c r="L42" s="125" t="s">
        <v>222</v>
      </c>
      <c r="M42" s="84" t="s">
        <v>451</v>
      </c>
      <c r="N42" s="268" t="s">
        <v>1219</v>
      </c>
      <c r="O42" s="103"/>
      <c r="P42" s="229"/>
      <c r="Q42" s="229"/>
    </row>
    <row r="43" spans="1:17" x14ac:dyDescent="0.25">
      <c r="A43" s="233" t="s">
        <v>1219</v>
      </c>
      <c r="B43" s="80" t="s">
        <v>257</v>
      </c>
      <c r="C43" s="103" t="s">
        <v>208</v>
      </c>
      <c r="D43" s="103" t="s">
        <v>345</v>
      </c>
      <c r="E43" s="103" t="s">
        <v>165</v>
      </c>
      <c r="F43" s="103" t="s">
        <v>159</v>
      </c>
      <c r="G43" s="124" t="s">
        <v>101</v>
      </c>
      <c r="H43" s="103" t="s">
        <v>94</v>
      </c>
      <c r="I43" s="103" t="s">
        <v>213</v>
      </c>
      <c r="J43" s="103" t="s">
        <v>215</v>
      </c>
      <c r="K43" s="103" t="s">
        <v>220</v>
      </c>
      <c r="L43" s="125" t="s">
        <v>224</v>
      </c>
      <c r="M43" s="84" t="s">
        <v>474</v>
      </c>
      <c r="N43" s="268" t="s">
        <v>1219</v>
      </c>
      <c r="O43" s="103"/>
      <c r="P43" s="229"/>
      <c r="Q43" s="229"/>
    </row>
    <row r="44" spans="1:17" x14ac:dyDescent="0.25">
      <c r="A44" s="233" t="s">
        <v>1219</v>
      </c>
      <c r="B44" s="202" t="s">
        <v>1102</v>
      </c>
      <c r="C44" s="103" t="s">
        <v>1036</v>
      </c>
      <c r="D44" s="103" t="s">
        <v>1104</v>
      </c>
      <c r="E44" s="103" t="s">
        <v>160</v>
      </c>
      <c r="F44" s="103" t="s">
        <v>200</v>
      </c>
      <c r="G44" s="124" t="s">
        <v>101</v>
      </c>
      <c r="H44" s="103" t="s">
        <v>94</v>
      </c>
      <c r="I44" s="103" t="s">
        <v>213</v>
      </c>
      <c r="J44" s="103" t="s">
        <v>220</v>
      </c>
      <c r="K44" s="103" t="s">
        <v>223</v>
      </c>
      <c r="L44" s="125" t="s">
        <v>224</v>
      </c>
      <c r="M44" s="84" t="s">
        <v>1103</v>
      </c>
      <c r="N44" s="268" t="s">
        <v>1219</v>
      </c>
      <c r="O44" s="103"/>
      <c r="P44" s="229"/>
      <c r="Q44" s="229"/>
    </row>
    <row r="45" spans="1:17" x14ac:dyDescent="0.25">
      <c r="A45" s="233" t="s">
        <v>1219</v>
      </c>
      <c r="B45" s="80" t="s">
        <v>231</v>
      </c>
      <c r="C45" s="103" t="s">
        <v>290</v>
      </c>
      <c r="D45" s="103" t="s">
        <v>313</v>
      </c>
      <c r="E45" s="103" t="s">
        <v>179</v>
      </c>
      <c r="F45" s="103" t="s">
        <v>10</v>
      </c>
      <c r="G45" s="124" t="s">
        <v>101</v>
      </c>
      <c r="H45" s="103" t="s">
        <v>96</v>
      </c>
      <c r="I45" s="103" t="s">
        <v>213</v>
      </c>
      <c r="J45" s="103" t="s">
        <v>216</v>
      </c>
      <c r="K45" s="103" t="s">
        <v>218</v>
      </c>
      <c r="L45" s="125" t="s">
        <v>220</v>
      </c>
      <c r="M45" s="84" t="s">
        <v>435</v>
      </c>
      <c r="N45" s="268" t="s">
        <v>1219</v>
      </c>
      <c r="O45" s="103"/>
      <c r="P45" s="229"/>
      <c r="Q45" s="229"/>
    </row>
    <row r="46" spans="1:17" x14ac:dyDescent="0.25">
      <c r="A46" s="233" t="s">
        <v>1219</v>
      </c>
      <c r="B46" s="247" t="s">
        <v>1601</v>
      </c>
      <c r="C46" s="103" t="s">
        <v>210</v>
      </c>
      <c r="D46" s="103" t="s">
        <v>1609</v>
      </c>
      <c r="E46" s="103" t="s">
        <v>1</v>
      </c>
      <c r="F46" s="103" t="s">
        <v>153</v>
      </c>
      <c r="G46" s="124" t="s">
        <v>1584</v>
      </c>
      <c r="H46" s="103" t="s">
        <v>94</v>
      </c>
      <c r="I46" s="103" t="s">
        <v>95</v>
      </c>
      <c r="J46" s="103" t="s">
        <v>96</v>
      </c>
      <c r="K46" s="103" t="s">
        <v>215</v>
      </c>
      <c r="L46" s="125" t="s">
        <v>216</v>
      </c>
      <c r="M46" s="84" t="s">
        <v>1608</v>
      </c>
      <c r="N46" s="268" t="s">
        <v>1219</v>
      </c>
      <c r="O46" s="103"/>
      <c r="P46" s="229"/>
      <c r="Q46" s="229"/>
    </row>
    <row r="47" spans="1:17" x14ac:dyDescent="0.25">
      <c r="A47" s="233" t="s">
        <v>1219</v>
      </c>
      <c r="B47" s="247" t="s">
        <v>1707</v>
      </c>
      <c r="C47" s="103" t="s">
        <v>212</v>
      </c>
      <c r="D47" s="103" t="s">
        <v>1708</v>
      </c>
      <c r="E47" s="103" t="s">
        <v>36</v>
      </c>
      <c r="F47" s="103" t="s">
        <v>205</v>
      </c>
      <c r="G47" s="124"/>
      <c r="H47" s="103" t="s">
        <v>96</v>
      </c>
      <c r="I47" s="103" t="s">
        <v>213</v>
      </c>
      <c r="J47" s="103" t="s">
        <v>216</v>
      </c>
      <c r="K47" s="103" t="s">
        <v>220</v>
      </c>
      <c r="L47" s="125" t="s">
        <v>222</v>
      </c>
      <c r="M47" s="84" t="s">
        <v>1709</v>
      </c>
      <c r="N47" s="268" t="s">
        <v>1219</v>
      </c>
      <c r="O47" s="103"/>
      <c r="P47" s="229"/>
      <c r="Q47" s="229"/>
    </row>
    <row r="48" spans="1:17" x14ac:dyDescent="0.25">
      <c r="A48" s="233" t="s">
        <v>1219</v>
      </c>
      <c r="B48" s="80" t="s">
        <v>232</v>
      </c>
      <c r="C48" s="103" t="s">
        <v>290</v>
      </c>
      <c r="D48" s="103" t="s">
        <v>314</v>
      </c>
      <c r="E48" s="103" t="s">
        <v>160</v>
      </c>
      <c r="F48" s="124" t="s">
        <v>101</v>
      </c>
      <c r="G48" s="124" t="s">
        <v>101</v>
      </c>
      <c r="H48" s="103" t="s">
        <v>94</v>
      </c>
      <c r="I48" s="103" t="s">
        <v>213</v>
      </c>
      <c r="J48" s="103" t="s">
        <v>215</v>
      </c>
      <c r="K48" s="103" t="s">
        <v>217</v>
      </c>
      <c r="L48" s="125" t="s">
        <v>224</v>
      </c>
      <c r="M48" s="84" t="s">
        <v>436</v>
      </c>
      <c r="N48" s="268" t="s">
        <v>1219</v>
      </c>
      <c r="O48" s="103"/>
      <c r="P48" s="229"/>
      <c r="Q48" s="229"/>
    </row>
    <row r="49" spans="1:17" x14ac:dyDescent="0.25">
      <c r="A49" s="233" t="s">
        <v>1219</v>
      </c>
      <c r="B49" s="247" t="s">
        <v>1683</v>
      </c>
      <c r="C49" s="103" t="s">
        <v>136</v>
      </c>
      <c r="D49" s="103" t="s">
        <v>1684</v>
      </c>
      <c r="E49" s="103" t="s">
        <v>1656</v>
      </c>
      <c r="F49" s="124" t="s">
        <v>188</v>
      </c>
      <c r="G49" s="124"/>
      <c r="H49" s="103" t="s">
        <v>213</v>
      </c>
      <c r="I49" s="103" t="s">
        <v>215</v>
      </c>
      <c r="J49" s="103" t="s">
        <v>218</v>
      </c>
      <c r="K49" s="103" t="s">
        <v>220</v>
      </c>
      <c r="L49" s="125" t="s">
        <v>223</v>
      </c>
      <c r="M49" s="84" t="s">
        <v>1685</v>
      </c>
      <c r="N49" s="268" t="s">
        <v>1219</v>
      </c>
      <c r="O49" s="103"/>
      <c r="P49" s="229"/>
      <c r="Q49" s="229"/>
    </row>
    <row r="50" spans="1:17" x14ac:dyDescent="0.25">
      <c r="A50" s="233" t="s">
        <v>1219</v>
      </c>
      <c r="B50" s="80" t="s">
        <v>233</v>
      </c>
      <c r="C50" s="103" t="s">
        <v>290</v>
      </c>
      <c r="D50" s="103" t="s">
        <v>315</v>
      </c>
      <c r="E50" s="103" t="s">
        <v>178</v>
      </c>
      <c r="F50" s="103" t="s">
        <v>3</v>
      </c>
      <c r="G50" s="103" t="s">
        <v>10</v>
      </c>
      <c r="H50" s="103" t="s">
        <v>93</v>
      </c>
      <c r="I50" s="103" t="s">
        <v>96</v>
      </c>
      <c r="J50" s="103" t="s">
        <v>218</v>
      </c>
      <c r="K50" s="103" t="s">
        <v>220</v>
      </c>
      <c r="L50" s="125" t="s">
        <v>223</v>
      </c>
      <c r="M50" s="84" t="s">
        <v>548</v>
      </c>
      <c r="N50" s="268" t="s">
        <v>1219</v>
      </c>
      <c r="O50" s="103"/>
      <c r="P50" s="229"/>
      <c r="Q50" s="229"/>
    </row>
    <row r="51" spans="1:17" x14ac:dyDescent="0.25">
      <c r="A51" s="233" t="s">
        <v>1219</v>
      </c>
      <c r="B51" s="204" t="s">
        <v>1082</v>
      </c>
      <c r="C51" s="103" t="s">
        <v>1034</v>
      </c>
      <c r="D51" s="103" t="s">
        <v>1083</v>
      </c>
      <c r="E51" s="103" t="s">
        <v>160</v>
      </c>
      <c r="F51" s="103" t="s">
        <v>1084</v>
      </c>
      <c r="G51" s="124" t="s">
        <v>101</v>
      </c>
      <c r="H51" s="103" t="s">
        <v>94</v>
      </c>
      <c r="I51" s="103" t="s">
        <v>213</v>
      </c>
      <c r="J51" s="103" t="s">
        <v>216</v>
      </c>
      <c r="K51" s="103" t="s">
        <v>220</v>
      </c>
      <c r="L51" s="103" t="s">
        <v>224</v>
      </c>
      <c r="M51" s="103" t="s">
        <v>1085</v>
      </c>
      <c r="N51" s="268" t="s">
        <v>1219</v>
      </c>
      <c r="O51" s="103"/>
      <c r="P51" s="229"/>
      <c r="Q51" s="229"/>
    </row>
    <row r="52" spans="1:17" x14ac:dyDescent="0.25">
      <c r="A52" s="233" t="s">
        <v>1219</v>
      </c>
      <c r="B52" s="248" t="s">
        <v>1625</v>
      </c>
      <c r="C52" s="103" t="s">
        <v>138</v>
      </c>
      <c r="D52" s="103" t="s">
        <v>1633</v>
      </c>
      <c r="E52" s="103" t="s">
        <v>160</v>
      </c>
      <c r="F52" s="103" t="s">
        <v>194</v>
      </c>
      <c r="G52" s="124"/>
      <c r="H52" s="103" t="s">
        <v>94</v>
      </c>
      <c r="I52" s="103" t="s">
        <v>215</v>
      </c>
      <c r="J52" s="103" t="s">
        <v>216</v>
      </c>
      <c r="K52" s="103" t="s">
        <v>220</v>
      </c>
      <c r="L52" s="103" t="s">
        <v>224</v>
      </c>
      <c r="M52" s="103" t="s">
        <v>1632</v>
      </c>
      <c r="N52" s="268" t="s">
        <v>1219</v>
      </c>
      <c r="O52" s="103"/>
      <c r="P52" s="229"/>
      <c r="Q52" s="229"/>
    </row>
    <row r="53" spans="1:17" x14ac:dyDescent="0.25">
      <c r="A53" s="233" t="s">
        <v>1219</v>
      </c>
      <c r="B53" s="80" t="s">
        <v>288</v>
      </c>
      <c r="C53" s="103" t="s">
        <v>142</v>
      </c>
      <c r="D53" s="103" t="s">
        <v>549</v>
      </c>
      <c r="E53" s="103" t="s">
        <v>176</v>
      </c>
      <c r="F53" s="103" t="s">
        <v>6</v>
      </c>
      <c r="G53" s="124" t="s">
        <v>101</v>
      </c>
      <c r="H53" s="103" t="s">
        <v>96</v>
      </c>
      <c r="I53" s="103" t="s">
        <v>213</v>
      </c>
      <c r="J53" s="103" t="s">
        <v>215</v>
      </c>
      <c r="K53" s="103" t="s">
        <v>219</v>
      </c>
      <c r="L53" s="125" t="s">
        <v>221</v>
      </c>
      <c r="M53" s="84" t="s">
        <v>444</v>
      </c>
      <c r="N53" s="268" t="s">
        <v>1219</v>
      </c>
      <c r="O53" s="103"/>
      <c r="P53" s="229"/>
      <c r="Q53" s="229"/>
    </row>
    <row r="54" spans="1:17" x14ac:dyDescent="0.25">
      <c r="A54" s="233" t="s">
        <v>1219</v>
      </c>
      <c r="B54" s="80" t="s">
        <v>234</v>
      </c>
      <c r="C54" s="103" t="s">
        <v>290</v>
      </c>
      <c r="D54" s="103" t="s">
        <v>316</v>
      </c>
      <c r="E54" s="103" t="s">
        <v>186</v>
      </c>
      <c r="F54" s="103" t="s">
        <v>190</v>
      </c>
      <c r="G54" s="124" t="s">
        <v>101</v>
      </c>
      <c r="H54" s="103" t="s">
        <v>94</v>
      </c>
      <c r="I54" s="103" t="s">
        <v>96</v>
      </c>
      <c r="J54" s="103" t="s">
        <v>213</v>
      </c>
      <c r="K54" s="103" t="s">
        <v>218</v>
      </c>
      <c r="L54" s="125" t="s">
        <v>219</v>
      </c>
      <c r="M54" s="84" t="s">
        <v>550</v>
      </c>
      <c r="N54" s="268" t="s">
        <v>1219</v>
      </c>
      <c r="O54" s="103"/>
      <c r="P54" s="229"/>
      <c r="Q54" s="229"/>
    </row>
    <row r="55" spans="1:17" x14ac:dyDescent="0.25">
      <c r="A55" s="233" t="s">
        <v>1219</v>
      </c>
      <c r="B55" s="80" t="s">
        <v>235</v>
      </c>
      <c r="C55" s="103" t="s">
        <v>290</v>
      </c>
      <c r="D55" s="103" t="s">
        <v>317</v>
      </c>
      <c r="E55" s="103" t="s">
        <v>175</v>
      </c>
      <c r="F55" s="103" t="s">
        <v>9</v>
      </c>
      <c r="G55" s="124" t="s">
        <v>101</v>
      </c>
      <c r="H55" s="103" t="s">
        <v>94</v>
      </c>
      <c r="I55" s="103" t="s">
        <v>96</v>
      </c>
      <c r="J55" s="103" t="s">
        <v>213</v>
      </c>
      <c r="K55" s="103" t="s">
        <v>217</v>
      </c>
      <c r="L55" s="125" t="s">
        <v>218</v>
      </c>
      <c r="M55" s="84" t="s">
        <v>452</v>
      </c>
      <c r="N55" s="268" t="s">
        <v>1219</v>
      </c>
      <c r="O55" s="103"/>
      <c r="P55" s="229"/>
      <c r="Q55" s="229"/>
    </row>
    <row r="56" spans="1:17" x14ac:dyDescent="0.25">
      <c r="A56" s="233" t="s">
        <v>1219</v>
      </c>
      <c r="B56" s="202" t="s">
        <v>1055</v>
      </c>
      <c r="C56" s="103" t="s">
        <v>1033</v>
      </c>
      <c r="D56" s="103" t="s">
        <v>1057</v>
      </c>
      <c r="E56" s="103" t="s">
        <v>1051</v>
      </c>
      <c r="F56" s="103" t="s">
        <v>1058</v>
      </c>
      <c r="G56" s="124" t="s">
        <v>1043</v>
      </c>
      <c r="H56" s="103" t="s">
        <v>93</v>
      </c>
      <c r="I56" s="103" t="s">
        <v>96</v>
      </c>
      <c r="J56" s="103" t="s">
        <v>215</v>
      </c>
      <c r="K56" s="103" t="s">
        <v>216</v>
      </c>
      <c r="L56" s="125" t="s">
        <v>219</v>
      </c>
      <c r="M56" s="84" t="s">
        <v>1056</v>
      </c>
      <c r="N56" s="268" t="s">
        <v>1219</v>
      </c>
      <c r="O56" s="103"/>
      <c r="P56" s="229"/>
      <c r="Q56" s="229"/>
    </row>
    <row r="57" spans="1:17" x14ac:dyDescent="0.25">
      <c r="A57" s="233" t="s">
        <v>1219</v>
      </c>
      <c r="B57" s="80" t="s">
        <v>283</v>
      </c>
      <c r="C57" s="103" t="s">
        <v>141</v>
      </c>
      <c r="D57" s="103" t="s">
        <v>362</v>
      </c>
      <c r="E57" s="103" t="s">
        <v>178</v>
      </c>
      <c r="F57" s="103" t="s">
        <v>188</v>
      </c>
      <c r="G57" s="124" t="s">
        <v>101</v>
      </c>
      <c r="H57" s="103" t="s">
        <v>96</v>
      </c>
      <c r="I57" s="103" t="s">
        <v>213</v>
      </c>
      <c r="J57" s="103" t="s">
        <v>218</v>
      </c>
      <c r="K57" s="103" t="s">
        <v>220</v>
      </c>
      <c r="L57" s="125" t="s">
        <v>221</v>
      </c>
      <c r="M57" s="84" t="s">
        <v>490</v>
      </c>
      <c r="N57" s="268" t="s">
        <v>1219</v>
      </c>
      <c r="O57" s="103"/>
      <c r="P57" s="229"/>
      <c r="Q57" s="229"/>
    </row>
    <row r="58" spans="1:17" x14ac:dyDescent="0.25">
      <c r="A58" s="233" t="s">
        <v>1219</v>
      </c>
      <c r="B58" s="202" t="s">
        <v>1105</v>
      </c>
      <c r="C58" s="103" t="s">
        <v>1036</v>
      </c>
      <c r="D58" s="103" t="s">
        <v>1106</v>
      </c>
      <c r="E58" s="103" t="s">
        <v>1107</v>
      </c>
      <c r="F58" s="103" t="s">
        <v>171</v>
      </c>
      <c r="G58" s="124" t="s">
        <v>9</v>
      </c>
      <c r="H58" s="103" t="s">
        <v>94</v>
      </c>
      <c r="I58" s="103" t="s">
        <v>219</v>
      </c>
      <c r="J58" s="103" t="s">
        <v>221</v>
      </c>
      <c r="K58" s="103" t="s">
        <v>223</v>
      </c>
      <c r="L58" s="125" t="s">
        <v>224</v>
      </c>
      <c r="M58" s="84" t="s">
        <v>1108</v>
      </c>
      <c r="N58" s="268" t="s">
        <v>1219</v>
      </c>
      <c r="O58" s="103"/>
      <c r="P58" s="229"/>
      <c r="Q58" s="229"/>
    </row>
    <row r="59" spans="1:17" x14ac:dyDescent="0.25">
      <c r="A59" s="233" t="s">
        <v>1219</v>
      </c>
      <c r="B59" s="80" t="s">
        <v>259</v>
      </c>
      <c r="C59" s="103" t="s">
        <v>136</v>
      </c>
      <c r="D59" s="103" t="s">
        <v>347</v>
      </c>
      <c r="E59" s="103" t="s">
        <v>194</v>
      </c>
      <c r="F59" s="103" t="s">
        <v>194</v>
      </c>
      <c r="G59" s="103" t="s">
        <v>2</v>
      </c>
      <c r="H59" s="103" t="s">
        <v>94</v>
      </c>
      <c r="I59" s="103" t="s">
        <v>215</v>
      </c>
      <c r="J59" s="103" t="s">
        <v>216</v>
      </c>
      <c r="K59" s="103" t="s">
        <v>221</v>
      </c>
      <c r="L59" s="125" t="s">
        <v>224</v>
      </c>
      <c r="M59" s="84" t="s">
        <v>441</v>
      </c>
      <c r="N59" s="268" t="s">
        <v>1219</v>
      </c>
      <c r="O59" s="103"/>
      <c r="P59" s="229"/>
      <c r="Q59" s="229"/>
    </row>
    <row r="60" spans="1:17" x14ac:dyDescent="0.25">
      <c r="A60" s="233" t="s">
        <v>1219</v>
      </c>
      <c r="B60" s="202" t="s">
        <v>1127</v>
      </c>
      <c r="C60" s="103" t="s">
        <v>1037</v>
      </c>
      <c r="D60" s="103" t="s">
        <v>1128</v>
      </c>
      <c r="E60" s="103" t="s">
        <v>1058</v>
      </c>
      <c r="F60" s="103" t="s">
        <v>1052</v>
      </c>
      <c r="G60" s="124" t="s">
        <v>101</v>
      </c>
      <c r="H60" s="103" t="s">
        <v>94</v>
      </c>
      <c r="I60" s="103" t="s">
        <v>218</v>
      </c>
      <c r="J60" s="103" t="s">
        <v>219</v>
      </c>
      <c r="K60" s="103" t="s">
        <v>221</v>
      </c>
      <c r="L60" s="125" t="s">
        <v>222</v>
      </c>
      <c r="M60" s="84" t="s">
        <v>1129</v>
      </c>
      <c r="N60" s="268" t="s">
        <v>1219</v>
      </c>
      <c r="O60" s="229"/>
      <c r="P60" s="229"/>
      <c r="Q60" s="229"/>
    </row>
    <row r="61" spans="1:17" x14ac:dyDescent="0.25">
      <c r="A61" s="233" t="s">
        <v>1219</v>
      </c>
      <c r="B61" s="247" t="s">
        <v>1628</v>
      </c>
      <c r="C61" s="103" t="s">
        <v>141</v>
      </c>
      <c r="D61" s="103" t="s">
        <v>1641</v>
      </c>
      <c r="E61" s="103" t="s">
        <v>152</v>
      </c>
      <c r="F61" s="103" t="s">
        <v>1</v>
      </c>
      <c r="G61" s="124" t="s">
        <v>1631</v>
      </c>
      <c r="H61" s="103" t="s">
        <v>94</v>
      </c>
      <c r="I61" s="103" t="s">
        <v>95</v>
      </c>
      <c r="J61" s="103" t="s">
        <v>214</v>
      </c>
      <c r="K61" s="103" t="s">
        <v>215</v>
      </c>
      <c r="L61" s="125" t="s">
        <v>216</v>
      </c>
      <c r="M61" s="84" t="s">
        <v>1640</v>
      </c>
      <c r="N61" s="268" t="s">
        <v>1219</v>
      </c>
      <c r="O61" s="229"/>
      <c r="P61" s="229"/>
      <c r="Q61" s="229"/>
    </row>
    <row r="62" spans="1:17" x14ac:dyDescent="0.25">
      <c r="A62" s="233" t="s">
        <v>1219</v>
      </c>
      <c r="B62" s="80" t="s">
        <v>236</v>
      </c>
      <c r="C62" s="103" t="s">
        <v>290</v>
      </c>
      <c r="D62" s="103" t="s">
        <v>318</v>
      </c>
      <c r="E62" s="103" t="s">
        <v>193</v>
      </c>
      <c r="F62" s="103" t="s">
        <v>168</v>
      </c>
      <c r="G62" s="124" t="s">
        <v>101</v>
      </c>
      <c r="H62" s="103" t="s">
        <v>93</v>
      </c>
      <c r="I62" s="103" t="s">
        <v>214</v>
      </c>
      <c r="J62" s="103" t="s">
        <v>215</v>
      </c>
      <c r="K62" s="103" t="s">
        <v>216</v>
      </c>
      <c r="L62" s="125" t="s">
        <v>218</v>
      </c>
      <c r="M62" s="84" t="s">
        <v>453</v>
      </c>
      <c r="N62" s="268" t="s">
        <v>1219</v>
      </c>
      <c r="O62" s="229"/>
      <c r="P62" s="229"/>
      <c r="Q62" s="229"/>
    </row>
    <row r="63" spans="1:17" x14ac:dyDescent="0.25">
      <c r="A63" s="233" t="s">
        <v>1219</v>
      </c>
      <c r="B63" s="80" t="s">
        <v>237</v>
      </c>
      <c r="C63" s="103" t="s">
        <v>290</v>
      </c>
      <c r="D63" s="103" t="s">
        <v>319</v>
      </c>
      <c r="E63" s="103" t="s">
        <v>161</v>
      </c>
      <c r="F63" s="103" t="s">
        <v>156</v>
      </c>
      <c r="G63" s="124" t="s">
        <v>101</v>
      </c>
      <c r="H63" s="103" t="s">
        <v>93</v>
      </c>
      <c r="I63" s="103" t="s">
        <v>94</v>
      </c>
      <c r="J63" s="103" t="s">
        <v>213</v>
      </c>
      <c r="K63" s="103" t="s">
        <v>217</v>
      </c>
      <c r="L63" s="125" t="s">
        <v>221</v>
      </c>
      <c r="M63" s="84" t="s">
        <v>552</v>
      </c>
      <c r="N63" s="268" t="s">
        <v>1219</v>
      </c>
      <c r="O63" s="229"/>
      <c r="P63" s="229"/>
      <c r="Q63" s="229"/>
    </row>
    <row r="64" spans="1:17" x14ac:dyDescent="0.25">
      <c r="A64" s="233" t="s">
        <v>1219</v>
      </c>
      <c r="B64" s="80" t="s">
        <v>265</v>
      </c>
      <c r="C64" s="103" t="s">
        <v>263</v>
      </c>
      <c r="D64" s="103" t="s">
        <v>337</v>
      </c>
      <c r="E64" s="103" t="s">
        <v>194</v>
      </c>
      <c r="F64" s="103" t="s">
        <v>194</v>
      </c>
      <c r="G64" s="103" t="s">
        <v>3</v>
      </c>
      <c r="H64" s="103" t="s">
        <v>95</v>
      </c>
      <c r="I64" s="103" t="s">
        <v>215</v>
      </c>
      <c r="J64" s="103" t="s">
        <v>218</v>
      </c>
      <c r="K64" s="103" t="s">
        <v>223</v>
      </c>
      <c r="L64" s="125" t="s">
        <v>224</v>
      </c>
      <c r="M64" s="84" t="s">
        <v>466</v>
      </c>
      <c r="N64" s="268" t="s">
        <v>1219</v>
      </c>
      <c r="O64" s="229"/>
      <c r="P64" s="229"/>
      <c r="Q64" s="229"/>
    </row>
    <row r="65" spans="1:17" x14ac:dyDescent="0.25">
      <c r="A65" s="233" t="s">
        <v>1219</v>
      </c>
      <c r="B65" s="80" t="s">
        <v>260</v>
      </c>
      <c r="C65" s="103" t="s">
        <v>136</v>
      </c>
      <c r="D65" s="103" t="s">
        <v>348</v>
      </c>
      <c r="E65" s="103" t="s">
        <v>197</v>
      </c>
      <c r="F65" s="103" t="s">
        <v>149</v>
      </c>
      <c r="G65" s="124" t="s">
        <v>101</v>
      </c>
      <c r="H65" s="103" t="s">
        <v>93</v>
      </c>
      <c r="I65" s="103" t="s">
        <v>94</v>
      </c>
      <c r="J65" s="103" t="s">
        <v>218</v>
      </c>
      <c r="K65" s="103" t="s">
        <v>223</v>
      </c>
      <c r="L65" s="125" t="s">
        <v>224</v>
      </c>
      <c r="M65" s="84" t="s">
        <v>553</v>
      </c>
      <c r="N65" s="268" t="s">
        <v>1219</v>
      </c>
      <c r="O65" s="229"/>
      <c r="P65" s="229"/>
      <c r="Q65" s="229"/>
    </row>
    <row r="66" spans="1:17" x14ac:dyDescent="0.25">
      <c r="A66" s="233" t="s">
        <v>1219</v>
      </c>
      <c r="B66" s="247" t="s">
        <v>1613</v>
      </c>
      <c r="C66" s="103" t="s">
        <v>208</v>
      </c>
      <c r="D66" s="103" t="s">
        <v>1615</v>
      </c>
      <c r="E66" s="103" t="s">
        <v>133</v>
      </c>
      <c r="F66" s="103" t="s">
        <v>1345</v>
      </c>
      <c r="G66" s="103"/>
      <c r="H66" s="103" t="s">
        <v>94</v>
      </c>
      <c r="I66" s="103" t="s">
        <v>213</v>
      </c>
      <c r="J66" s="103" t="s">
        <v>216</v>
      </c>
      <c r="K66" s="103" t="s">
        <v>217</v>
      </c>
      <c r="L66" s="125" t="s">
        <v>224</v>
      </c>
      <c r="M66" s="84" t="s">
        <v>1614</v>
      </c>
      <c r="N66" s="268" t="s">
        <v>1219</v>
      </c>
      <c r="O66" s="229"/>
      <c r="P66" s="229"/>
      <c r="Q66" s="229"/>
    </row>
    <row r="67" spans="1:17" x14ac:dyDescent="0.25">
      <c r="A67" s="233" t="s">
        <v>1219</v>
      </c>
      <c r="B67" s="247" t="s">
        <v>1626</v>
      </c>
      <c r="C67" s="103" t="s">
        <v>138</v>
      </c>
      <c r="D67" s="103" t="s">
        <v>1635</v>
      </c>
      <c r="E67" s="103" t="s">
        <v>155</v>
      </c>
      <c r="F67" s="103" t="s">
        <v>1578</v>
      </c>
      <c r="G67" s="103"/>
      <c r="H67" s="103" t="s">
        <v>96</v>
      </c>
      <c r="I67" s="103" t="s">
        <v>213</v>
      </c>
      <c r="J67" s="103" t="s">
        <v>214</v>
      </c>
      <c r="K67" s="103" t="s">
        <v>216</v>
      </c>
      <c r="L67" s="125" t="s">
        <v>220</v>
      </c>
      <c r="M67" s="84" t="s">
        <v>1634</v>
      </c>
      <c r="N67" s="268" t="s">
        <v>1219</v>
      </c>
      <c r="O67" s="229"/>
      <c r="P67" s="229"/>
      <c r="Q67" s="229"/>
    </row>
    <row r="68" spans="1:17" x14ac:dyDescent="0.25">
      <c r="A68" s="233" t="s">
        <v>1219</v>
      </c>
      <c r="B68" s="247" t="s">
        <v>1629</v>
      </c>
      <c r="C68" s="103" t="s">
        <v>138</v>
      </c>
      <c r="D68" s="103" t="s">
        <v>1637</v>
      </c>
      <c r="E68" s="103" t="s">
        <v>133</v>
      </c>
      <c r="F68" s="103" t="s">
        <v>1573</v>
      </c>
      <c r="G68" s="103"/>
      <c r="H68" s="103" t="s">
        <v>96</v>
      </c>
      <c r="I68" s="103" t="s">
        <v>213</v>
      </c>
      <c r="J68" s="103" t="s">
        <v>215</v>
      </c>
      <c r="K68" s="103" t="s">
        <v>216</v>
      </c>
      <c r="L68" s="125" t="s">
        <v>220</v>
      </c>
      <c r="M68" s="84" t="s">
        <v>1636</v>
      </c>
      <c r="N68" s="268" t="s">
        <v>1219</v>
      </c>
      <c r="Q68" s="233"/>
    </row>
    <row r="69" spans="1:17" x14ac:dyDescent="0.25">
      <c r="A69" s="233" t="s">
        <v>1219</v>
      </c>
      <c r="B69" s="80" t="s">
        <v>270</v>
      </c>
      <c r="C69" s="103" t="s">
        <v>138</v>
      </c>
      <c r="D69" s="103" t="s">
        <v>351</v>
      </c>
      <c r="E69" s="103" t="s">
        <v>157</v>
      </c>
      <c r="F69" s="103" t="s">
        <v>167</v>
      </c>
      <c r="G69" s="103" t="s">
        <v>6</v>
      </c>
      <c r="H69" s="103" t="s">
        <v>96</v>
      </c>
      <c r="I69" s="103" t="s">
        <v>217</v>
      </c>
      <c r="J69" s="103" t="s">
        <v>218</v>
      </c>
      <c r="K69" s="103" t="s">
        <v>221</v>
      </c>
      <c r="L69" s="125" t="s">
        <v>224</v>
      </c>
      <c r="M69" s="84" t="s">
        <v>478</v>
      </c>
      <c r="N69" s="268" t="s">
        <v>1219</v>
      </c>
      <c r="Q69" s="233"/>
    </row>
    <row r="70" spans="1:17" x14ac:dyDescent="0.25">
      <c r="A70" s="233" t="s">
        <v>1219</v>
      </c>
      <c r="B70" s="202" t="s">
        <v>1098</v>
      </c>
      <c r="C70" s="103" t="s">
        <v>1035</v>
      </c>
      <c r="D70" s="103" t="s">
        <v>1099</v>
      </c>
      <c r="E70" s="103" t="s">
        <v>1100</v>
      </c>
      <c r="F70" s="103" t="s">
        <v>2</v>
      </c>
      <c r="G70" s="124" t="s">
        <v>101</v>
      </c>
      <c r="H70" s="103" t="s">
        <v>93</v>
      </c>
      <c r="I70" s="103" t="s">
        <v>214</v>
      </c>
      <c r="J70" s="103" t="s">
        <v>216</v>
      </c>
      <c r="K70" s="103" t="s">
        <v>217</v>
      </c>
      <c r="L70" s="125" t="s">
        <v>222</v>
      </c>
      <c r="M70" s="84" t="s">
        <v>1101</v>
      </c>
      <c r="N70" s="268" t="s">
        <v>1219</v>
      </c>
      <c r="Q70" s="233"/>
    </row>
    <row r="71" spans="1:17" x14ac:dyDescent="0.25">
      <c r="A71" s="233" t="s">
        <v>1219</v>
      </c>
      <c r="B71" s="202" t="s">
        <v>1066</v>
      </c>
      <c r="C71" s="103" t="s">
        <v>1033</v>
      </c>
      <c r="D71" s="103" t="s">
        <v>1067</v>
      </c>
      <c r="E71" s="103" t="s">
        <v>1051</v>
      </c>
      <c r="F71" s="103" t="s">
        <v>1069</v>
      </c>
      <c r="G71" s="103" t="s">
        <v>1070</v>
      </c>
      <c r="H71" s="103" t="s">
        <v>215</v>
      </c>
      <c r="I71" s="103" t="s">
        <v>216</v>
      </c>
      <c r="J71" s="103" t="s">
        <v>219</v>
      </c>
      <c r="K71" s="103" t="s">
        <v>222</v>
      </c>
      <c r="L71" s="125" t="s">
        <v>224</v>
      </c>
      <c r="M71" s="84" t="s">
        <v>1068</v>
      </c>
      <c r="N71" s="268" t="s">
        <v>1219</v>
      </c>
      <c r="Q71" s="233"/>
    </row>
    <row r="72" spans="1:17" x14ac:dyDescent="0.25">
      <c r="A72" s="233" t="s">
        <v>1219</v>
      </c>
      <c r="B72" s="247" t="s">
        <v>1689</v>
      </c>
      <c r="C72" s="103" t="s">
        <v>211</v>
      </c>
      <c r="D72" s="103" t="s">
        <v>1690</v>
      </c>
      <c r="E72" s="103" t="s">
        <v>196</v>
      </c>
      <c r="F72" s="103" t="s">
        <v>200</v>
      </c>
      <c r="G72" s="103"/>
      <c r="H72" s="103" t="s">
        <v>94</v>
      </c>
      <c r="I72" s="103" t="s">
        <v>96</v>
      </c>
      <c r="J72" s="103" t="s">
        <v>214</v>
      </c>
      <c r="K72" s="103" t="s">
        <v>216</v>
      </c>
      <c r="L72" s="125" t="s">
        <v>222</v>
      </c>
      <c r="M72" s="84" t="s">
        <v>1691</v>
      </c>
      <c r="N72" s="268" t="s">
        <v>1219</v>
      </c>
      <c r="Q72" s="233"/>
    </row>
    <row r="73" spans="1:17" x14ac:dyDescent="0.25">
      <c r="A73" s="233" t="s">
        <v>1219</v>
      </c>
      <c r="B73" s="202" t="s">
        <v>1074</v>
      </c>
      <c r="C73" s="103" t="s">
        <v>1034</v>
      </c>
      <c r="D73" s="103" t="s">
        <v>1075</v>
      </c>
      <c r="E73" s="103" t="s">
        <v>1076</v>
      </c>
      <c r="F73" s="103" t="s">
        <v>187</v>
      </c>
      <c r="G73" s="124" t="s">
        <v>101</v>
      </c>
      <c r="H73" s="103" t="s">
        <v>94</v>
      </c>
      <c r="I73" s="103" t="s">
        <v>95</v>
      </c>
      <c r="J73" s="103" t="s">
        <v>96</v>
      </c>
      <c r="K73" s="103" t="s">
        <v>214</v>
      </c>
      <c r="L73" s="125" t="s">
        <v>223</v>
      </c>
      <c r="M73" s="84" t="s">
        <v>1077</v>
      </c>
      <c r="N73" s="268" t="s">
        <v>1219</v>
      </c>
      <c r="Q73" s="233"/>
    </row>
    <row r="74" spans="1:17" x14ac:dyDescent="0.25">
      <c r="A74" s="233" t="s">
        <v>1219</v>
      </c>
      <c r="B74" s="80" t="s">
        <v>238</v>
      </c>
      <c r="C74" s="103" t="s">
        <v>290</v>
      </c>
      <c r="D74" s="103" t="s">
        <v>320</v>
      </c>
      <c r="E74" s="103" t="s">
        <v>170</v>
      </c>
      <c r="F74" s="103" t="s">
        <v>2</v>
      </c>
      <c r="G74" s="124" t="s">
        <v>101</v>
      </c>
      <c r="H74" s="103" t="s">
        <v>94</v>
      </c>
      <c r="I74" s="103" t="s">
        <v>95</v>
      </c>
      <c r="J74" s="103" t="s">
        <v>215</v>
      </c>
      <c r="K74" s="103" t="s">
        <v>216</v>
      </c>
      <c r="L74" s="125" t="s">
        <v>224</v>
      </c>
      <c r="M74" s="84" t="s">
        <v>437</v>
      </c>
      <c r="N74" s="268" t="s">
        <v>1219</v>
      </c>
      <c r="Q74" s="233"/>
    </row>
    <row r="75" spans="1:17" x14ac:dyDescent="0.25">
      <c r="A75" s="233" t="s">
        <v>1219</v>
      </c>
      <c r="B75" s="80" t="s">
        <v>239</v>
      </c>
      <c r="C75" s="103" t="s">
        <v>290</v>
      </c>
      <c r="D75" s="103" t="s">
        <v>321</v>
      </c>
      <c r="E75" s="103" t="s">
        <v>176</v>
      </c>
      <c r="F75" s="103" t="s">
        <v>10</v>
      </c>
      <c r="G75" s="124" t="s">
        <v>101</v>
      </c>
      <c r="H75" s="103" t="s">
        <v>96</v>
      </c>
      <c r="I75" s="103" t="s">
        <v>213</v>
      </c>
      <c r="J75" s="103" t="s">
        <v>215</v>
      </c>
      <c r="K75" s="103" t="s">
        <v>218</v>
      </c>
      <c r="L75" s="125" t="s">
        <v>221</v>
      </c>
      <c r="M75" s="84" t="s">
        <v>454</v>
      </c>
      <c r="N75" s="268" t="s">
        <v>1219</v>
      </c>
      <c r="Q75" s="233"/>
    </row>
    <row r="76" spans="1:17" x14ac:dyDescent="0.25">
      <c r="A76" s="233" t="s">
        <v>1219</v>
      </c>
      <c r="B76" s="80" t="s">
        <v>258</v>
      </c>
      <c r="C76" s="103" t="s">
        <v>208</v>
      </c>
      <c r="D76" s="103" t="s">
        <v>346</v>
      </c>
      <c r="E76" s="103" t="s">
        <v>181</v>
      </c>
      <c r="F76" s="103" t="s">
        <v>195</v>
      </c>
      <c r="G76" s="124" t="s">
        <v>101</v>
      </c>
      <c r="H76" s="103" t="s">
        <v>96</v>
      </c>
      <c r="I76" s="103" t="s">
        <v>213</v>
      </c>
      <c r="J76" s="103" t="s">
        <v>217</v>
      </c>
      <c r="K76" s="103" t="s">
        <v>218</v>
      </c>
      <c r="L76" s="125" t="s">
        <v>220</v>
      </c>
      <c r="M76" s="84" t="s">
        <v>475</v>
      </c>
      <c r="N76" s="268" t="s">
        <v>1219</v>
      </c>
      <c r="Q76" s="233"/>
    </row>
    <row r="77" spans="1:17" x14ac:dyDescent="0.25">
      <c r="A77" s="233" t="s">
        <v>1219</v>
      </c>
      <c r="B77" s="247" t="s">
        <v>1710</v>
      </c>
      <c r="C77" s="103" t="s">
        <v>142</v>
      </c>
      <c r="D77" s="103" t="s">
        <v>1711</v>
      </c>
      <c r="E77" s="103" t="s">
        <v>1671</v>
      </c>
      <c r="F77" s="103" t="s">
        <v>10</v>
      </c>
      <c r="G77" s="124"/>
      <c r="H77" s="103" t="s">
        <v>96</v>
      </c>
      <c r="I77" s="103" t="s">
        <v>214</v>
      </c>
      <c r="J77" s="103" t="s">
        <v>217</v>
      </c>
      <c r="K77" s="103" t="s">
        <v>221</v>
      </c>
      <c r="L77" s="125" t="s">
        <v>222</v>
      </c>
      <c r="M77" s="84" t="s">
        <v>1712</v>
      </c>
      <c r="N77" s="268" t="s">
        <v>1219</v>
      </c>
      <c r="Q77" s="233"/>
    </row>
    <row r="78" spans="1:17" x14ac:dyDescent="0.25">
      <c r="A78" s="233" t="s">
        <v>1219</v>
      </c>
      <c r="B78" s="80" t="s">
        <v>271</v>
      </c>
      <c r="C78" s="103" t="s">
        <v>138</v>
      </c>
      <c r="D78" s="103" t="s">
        <v>352</v>
      </c>
      <c r="E78" s="103" t="s">
        <v>291</v>
      </c>
      <c r="F78" s="103" t="s">
        <v>186</v>
      </c>
      <c r="G78" s="124" t="s">
        <v>101</v>
      </c>
      <c r="H78" s="103" t="s">
        <v>93</v>
      </c>
      <c r="I78" s="103" t="s">
        <v>215</v>
      </c>
      <c r="J78" s="103" t="s">
        <v>216</v>
      </c>
      <c r="K78" s="103" t="s">
        <v>218</v>
      </c>
      <c r="L78" s="125" t="s">
        <v>224</v>
      </c>
      <c r="M78" s="84" t="s">
        <v>479</v>
      </c>
      <c r="N78" s="268" t="s">
        <v>1219</v>
      </c>
      <c r="Q78" s="233"/>
    </row>
    <row r="79" spans="1:17" x14ac:dyDescent="0.25">
      <c r="A79" s="233" t="s">
        <v>1219</v>
      </c>
      <c r="B79" s="247" t="s">
        <v>1692</v>
      </c>
      <c r="C79" s="103" t="s">
        <v>211</v>
      </c>
      <c r="D79" s="103" t="s">
        <v>1693</v>
      </c>
      <c r="E79" s="103" t="s">
        <v>151</v>
      </c>
      <c r="F79" s="103" t="s">
        <v>1654</v>
      </c>
      <c r="G79" s="124"/>
      <c r="H79" s="103" t="s">
        <v>96</v>
      </c>
      <c r="I79" s="103" t="s">
        <v>213</v>
      </c>
      <c r="J79" s="103" t="s">
        <v>214</v>
      </c>
      <c r="K79" s="103" t="s">
        <v>220</v>
      </c>
      <c r="L79" s="125" t="s">
        <v>221</v>
      </c>
      <c r="M79" s="84" t="s">
        <v>1694</v>
      </c>
      <c r="N79" s="268" t="s">
        <v>1219</v>
      </c>
      <c r="Q79" s="233"/>
    </row>
    <row r="80" spans="1:17" x14ac:dyDescent="0.25">
      <c r="A80" s="233" t="s">
        <v>1219</v>
      </c>
      <c r="B80" s="247" t="s">
        <v>1627</v>
      </c>
      <c r="C80" s="103" t="s">
        <v>141</v>
      </c>
      <c r="D80" s="103" t="s">
        <v>1643</v>
      </c>
      <c r="E80" s="103" t="s">
        <v>154</v>
      </c>
      <c r="F80" s="103" t="s">
        <v>3</v>
      </c>
      <c r="G80" s="124" t="s">
        <v>1586</v>
      </c>
      <c r="H80" s="103" t="s">
        <v>94</v>
      </c>
      <c r="I80" s="103" t="s">
        <v>214</v>
      </c>
      <c r="J80" s="103" t="s">
        <v>218</v>
      </c>
      <c r="K80" s="103" t="s">
        <v>223</v>
      </c>
      <c r="L80" s="125" t="s">
        <v>224</v>
      </c>
      <c r="M80" s="84" t="s">
        <v>1642</v>
      </c>
      <c r="N80" s="268" t="s">
        <v>1219</v>
      </c>
      <c r="Q80" s="233"/>
    </row>
    <row r="81" spans="1:17" x14ac:dyDescent="0.25">
      <c r="A81" s="233" t="s">
        <v>1219</v>
      </c>
      <c r="B81" s="202" t="s">
        <v>1112</v>
      </c>
      <c r="C81" s="103" t="s">
        <v>1036</v>
      </c>
      <c r="D81" s="103" t="s">
        <v>1113</v>
      </c>
      <c r="E81" s="103" t="s">
        <v>1051</v>
      </c>
      <c r="F81" s="103" t="s">
        <v>1114</v>
      </c>
      <c r="G81" s="124" t="s">
        <v>101</v>
      </c>
      <c r="H81" s="103" t="s">
        <v>94</v>
      </c>
      <c r="I81" s="103" t="s">
        <v>215</v>
      </c>
      <c r="J81" s="103" t="s">
        <v>219</v>
      </c>
      <c r="K81" s="103" t="s">
        <v>223</v>
      </c>
      <c r="L81" s="125" t="s">
        <v>224</v>
      </c>
      <c r="M81" s="84" t="s">
        <v>1115</v>
      </c>
      <c r="N81" s="268" t="s">
        <v>1219</v>
      </c>
      <c r="Q81" s="233"/>
    </row>
    <row r="82" spans="1:17" x14ac:dyDescent="0.25">
      <c r="A82" s="233" t="s">
        <v>1219</v>
      </c>
      <c r="B82" s="202" t="s">
        <v>1109</v>
      </c>
      <c r="C82" s="103" t="s">
        <v>1036</v>
      </c>
      <c r="D82" s="103" t="s">
        <v>1110</v>
      </c>
      <c r="E82" s="103" t="s">
        <v>194</v>
      </c>
      <c r="F82" s="103" t="s">
        <v>194</v>
      </c>
      <c r="G82" s="124" t="s">
        <v>10</v>
      </c>
      <c r="H82" s="103" t="s">
        <v>94</v>
      </c>
      <c r="I82" s="103" t="s">
        <v>96</v>
      </c>
      <c r="J82" s="103" t="s">
        <v>215</v>
      </c>
      <c r="K82" s="103" t="s">
        <v>223</v>
      </c>
      <c r="L82" s="125" t="s">
        <v>224</v>
      </c>
      <c r="M82" s="84" t="s">
        <v>1111</v>
      </c>
      <c r="N82" s="268" t="s">
        <v>1219</v>
      </c>
      <c r="Q82" s="233"/>
    </row>
    <row r="83" spans="1:17" x14ac:dyDescent="0.25">
      <c r="A83" s="233" t="s">
        <v>1219</v>
      </c>
      <c r="B83" s="80" t="s">
        <v>240</v>
      </c>
      <c r="C83" s="103" t="s">
        <v>290</v>
      </c>
      <c r="D83" s="103" t="s">
        <v>322</v>
      </c>
      <c r="E83" s="103" t="s">
        <v>183</v>
      </c>
      <c r="F83" s="103" t="s">
        <v>11</v>
      </c>
      <c r="G83" s="103" t="s">
        <v>7</v>
      </c>
      <c r="H83" s="103" t="s">
        <v>215</v>
      </c>
      <c r="I83" s="103" t="s">
        <v>216</v>
      </c>
      <c r="J83" s="103" t="s">
        <v>219</v>
      </c>
      <c r="K83" s="103" t="s">
        <v>223</v>
      </c>
      <c r="L83" s="125" t="s">
        <v>224</v>
      </c>
      <c r="M83" s="84" t="s">
        <v>455</v>
      </c>
      <c r="N83" s="268" t="s">
        <v>1219</v>
      </c>
      <c r="Q83" s="233"/>
    </row>
    <row r="84" spans="1:17" x14ac:dyDescent="0.25">
      <c r="A84" s="233" t="s">
        <v>1219</v>
      </c>
      <c r="B84" s="202" t="s">
        <v>1071</v>
      </c>
      <c r="C84" s="103" t="s">
        <v>1034</v>
      </c>
      <c r="D84" s="103" t="s">
        <v>1072</v>
      </c>
      <c r="E84" s="103" t="s">
        <v>194</v>
      </c>
      <c r="F84" s="103" t="s">
        <v>194</v>
      </c>
      <c r="G84" s="124" t="s">
        <v>2</v>
      </c>
      <c r="H84" s="103" t="s">
        <v>96</v>
      </c>
      <c r="I84" s="103" t="s">
        <v>213</v>
      </c>
      <c r="J84" s="103" t="s">
        <v>217</v>
      </c>
      <c r="K84" s="103" t="s">
        <v>220</v>
      </c>
      <c r="L84" s="125" t="s">
        <v>224</v>
      </c>
      <c r="M84" s="84" t="s">
        <v>1073</v>
      </c>
      <c r="N84" s="268" t="s">
        <v>1219</v>
      </c>
      <c r="Q84" s="233"/>
    </row>
    <row r="85" spans="1:17" x14ac:dyDescent="0.25">
      <c r="A85" s="233" t="s">
        <v>1219</v>
      </c>
      <c r="B85" s="80" t="s">
        <v>241</v>
      </c>
      <c r="C85" s="103" t="s">
        <v>290</v>
      </c>
      <c r="D85" s="103" t="s">
        <v>323</v>
      </c>
      <c r="E85" s="103" t="s">
        <v>155</v>
      </c>
      <c r="F85" s="103" t="s">
        <v>187</v>
      </c>
      <c r="G85" s="124" t="s">
        <v>101</v>
      </c>
      <c r="H85" s="103" t="s">
        <v>94</v>
      </c>
      <c r="I85" s="103" t="s">
        <v>95</v>
      </c>
      <c r="J85" s="103" t="s">
        <v>213</v>
      </c>
      <c r="K85" s="103" t="s">
        <v>214</v>
      </c>
      <c r="L85" s="125" t="s">
        <v>215</v>
      </c>
      <c r="M85" s="84" t="s">
        <v>456</v>
      </c>
      <c r="N85" s="268" t="s">
        <v>1219</v>
      </c>
      <c r="Q85" s="233"/>
    </row>
    <row r="86" spans="1:17" x14ac:dyDescent="0.25">
      <c r="A86" s="233" t="s">
        <v>1219</v>
      </c>
      <c r="B86" s="247" t="s">
        <v>1602</v>
      </c>
      <c r="C86" s="103" t="s">
        <v>141</v>
      </c>
      <c r="D86" s="103" t="s">
        <v>1604</v>
      </c>
      <c r="E86" s="103" t="s">
        <v>182</v>
      </c>
      <c r="F86" s="103" t="s">
        <v>1080</v>
      </c>
      <c r="G86" s="124"/>
      <c r="H86" s="103" t="s">
        <v>93</v>
      </c>
      <c r="I86" s="103" t="s">
        <v>96</v>
      </c>
      <c r="J86" s="103" t="s">
        <v>213</v>
      </c>
      <c r="K86" s="103" t="s">
        <v>219</v>
      </c>
      <c r="L86" s="125" t="s">
        <v>220</v>
      </c>
      <c r="M86" s="84" t="s">
        <v>1603</v>
      </c>
      <c r="N86" s="268" t="s">
        <v>1219</v>
      </c>
    </row>
    <row r="87" spans="1:17" x14ac:dyDescent="0.25">
      <c r="A87" s="233" t="s">
        <v>1219</v>
      </c>
      <c r="B87" s="80" t="s">
        <v>242</v>
      </c>
      <c r="C87" s="103" t="s">
        <v>290</v>
      </c>
      <c r="D87" s="103" t="s">
        <v>324</v>
      </c>
      <c r="E87" s="103" t="s">
        <v>206</v>
      </c>
      <c r="F87" s="103" t="s">
        <v>172</v>
      </c>
      <c r="G87" s="124" t="s">
        <v>101</v>
      </c>
      <c r="H87" s="103" t="s">
        <v>94</v>
      </c>
      <c r="I87" s="103" t="s">
        <v>213</v>
      </c>
      <c r="J87" s="103" t="s">
        <v>217</v>
      </c>
      <c r="K87" s="103" t="s">
        <v>221</v>
      </c>
      <c r="L87" s="125" t="s">
        <v>222</v>
      </c>
      <c r="M87" s="84" t="s">
        <v>438</v>
      </c>
      <c r="N87" s="268" t="s">
        <v>1219</v>
      </c>
    </row>
    <row r="88" spans="1:17" x14ac:dyDescent="0.25">
      <c r="A88" s="233" t="s">
        <v>1219</v>
      </c>
      <c r="B88" s="80" t="s">
        <v>243</v>
      </c>
      <c r="C88" s="103" t="s">
        <v>290</v>
      </c>
      <c r="D88" s="103" t="s">
        <v>325</v>
      </c>
      <c r="E88" s="103" t="s">
        <v>158</v>
      </c>
      <c r="F88" s="103" t="s">
        <v>171</v>
      </c>
      <c r="G88" s="124" t="s">
        <v>101</v>
      </c>
      <c r="H88" s="103" t="s">
        <v>93</v>
      </c>
      <c r="I88" s="103" t="s">
        <v>215</v>
      </c>
      <c r="J88" s="103" t="s">
        <v>216</v>
      </c>
      <c r="K88" s="103" t="s">
        <v>219</v>
      </c>
      <c r="L88" s="125" t="s">
        <v>222</v>
      </c>
      <c r="M88" s="84" t="s">
        <v>457</v>
      </c>
      <c r="N88" s="268" t="s">
        <v>1219</v>
      </c>
    </row>
    <row r="89" spans="1:17" x14ac:dyDescent="0.25">
      <c r="A89" s="233" t="s">
        <v>1219</v>
      </c>
      <c r="B89" s="247" t="s">
        <v>1713</v>
      </c>
      <c r="C89" s="103" t="s">
        <v>142</v>
      </c>
      <c r="D89" s="103" t="s">
        <v>1714</v>
      </c>
      <c r="E89" s="103" t="s">
        <v>1666</v>
      </c>
      <c r="F89" s="103" t="s">
        <v>197</v>
      </c>
      <c r="G89" s="124"/>
      <c r="H89" s="103" t="s">
        <v>93</v>
      </c>
      <c r="I89" s="103" t="s">
        <v>94</v>
      </c>
      <c r="J89" s="103" t="s">
        <v>213</v>
      </c>
      <c r="K89" s="103" t="s">
        <v>215</v>
      </c>
      <c r="L89" s="125" t="s">
        <v>221</v>
      </c>
      <c r="M89" s="84" t="s">
        <v>1715</v>
      </c>
      <c r="N89" s="268" t="s">
        <v>1219</v>
      </c>
    </row>
    <row r="90" spans="1:17" x14ac:dyDescent="0.25">
      <c r="A90" s="233" t="s">
        <v>1219</v>
      </c>
      <c r="B90" s="80" t="s">
        <v>274</v>
      </c>
      <c r="C90" s="103" t="s">
        <v>211</v>
      </c>
      <c r="D90" s="103" t="s">
        <v>354</v>
      </c>
      <c r="E90" s="103" t="s">
        <v>174</v>
      </c>
      <c r="F90" s="103" t="s">
        <v>176</v>
      </c>
      <c r="G90" s="124" t="s">
        <v>101</v>
      </c>
      <c r="H90" s="103" t="s">
        <v>96</v>
      </c>
      <c r="I90" s="103" t="s">
        <v>213</v>
      </c>
      <c r="J90" s="103" t="s">
        <v>215</v>
      </c>
      <c r="K90" s="103" t="s">
        <v>217</v>
      </c>
      <c r="L90" s="125" t="s">
        <v>221</v>
      </c>
      <c r="M90" s="84" t="s">
        <v>482</v>
      </c>
      <c r="N90" s="268" t="s">
        <v>1219</v>
      </c>
    </row>
    <row r="91" spans="1:17" x14ac:dyDescent="0.25">
      <c r="A91" s="233" t="s">
        <v>1219</v>
      </c>
      <c r="B91" s="80" t="s">
        <v>244</v>
      </c>
      <c r="C91" s="103" t="s">
        <v>290</v>
      </c>
      <c r="D91" s="103" t="s">
        <v>326</v>
      </c>
      <c r="E91" s="103" t="s">
        <v>181</v>
      </c>
      <c r="F91" s="103" t="s">
        <v>172</v>
      </c>
      <c r="G91" s="124" t="s">
        <v>101</v>
      </c>
      <c r="H91" s="103" t="s">
        <v>213</v>
      </c>
      <c r="I91" s="103" t="s">
        <v>217</v>
      </c>
      <c r="J91" s="103" t="s">
        <v>218</v>
      </c>
      <c r="K91" s="103" t="s">
        <v>220</v>
      </c>
      <c r="L91" s="125" t="s">
        <v>221</v>
      </c>
      <c r="M91" s="84" t="s">
        <v>439</v>
      </c>
      <c r="N91" s="268" t="s">
        <v>1219</v>
      </c>
    </row>
    <row r="92" spans="1:17" x14ac:dyDescent="0.25">
      <c r="A92" s="233" t="s">
        <v>1219</v>
      </c>
      <c r="B92" s="80" t="s">
        <v>266</v>
      </c>
      <c r="C92" s="103" t="s">
        <v>263</v>
      </c>
      <c r="D92" s="103" t="s">
        <v>338</v>
      </c>
      <c r="E92" s="103" t="s">
        <v>300</v>
      </c>
      <c r="F92" s="103" t="s">
        <v>183</v>
      </c>
      <c r="G92" s="124" t="s">
        <v>101</v>
      </c>
      <c r="H92" s="103" t="s">
        <v>216</v>
      </c>
      <c r="I92" s="103" t="s">
        <v>219</v>
      </c>
      <c r="J92" s="103" t="s">
        <v>221</v>
      </c>
      <c r="K92" s="103" t="s">
        <v>222</v>
      </c>
      <c r="L92" s="125" t="s">
        <v>224</v>
      </c>
      <c r="M92" s="84" t="s">
        <v>467</v>
      </c>
      <c r="N92" s="268" t="s">
        <v>1219</v>
      </c>
    </row>
    <row r="93" spans="1:17" x14ac:dyDescent="0.25">
      <c r="A93" s="233" t="s">
        <v>1219</v>
      </c>
      <c r="B93" s="80" t="s">
        <v>245</v>
      </c>
      <c r="C93" s="103" t="s">
        <v>290</v>
      </c>
      <c r="D93" s="103" t="s">
        <v>327</v>
      </c>
      <c r="E93" s="103" t="s">
        <v>201</v>
      </c>
      <c r="F93" s="103" t="s">
        <v>200</v>
      </c>
      <c r="G93" s="124" t="s">
        <v>101</v>
      </c>
      <c r="H93" s="103" t="s">
        <v>96</v>
      </c>
      <c r="I93" s="103" t="s">
        <v>213</v>
      </c>
      <c r="J93" s="103" t="s">
        <v>217</v>
      </c>
      <c r="K93" s="103" t="s">
        <v>220</v>
      </c>
      <c r="L93" s="125" t="s">
        <v>221</v>
      </c>
      <c r="M93" s="84" t="s">
        <v>440</v>
      </c>
      <c r="N93" s="268" t="s">
        <v>1219</v>
      </c>
    </row>
    <row r="94" spans="1:17" x14ac:dyDescent="0.25">
      <c r="A94" s="233" t="s">
        <v>1219</v>
      </c>
      <c r="B94" s="80" t="s">
        <v>279</v>
      </c>
      <c r="C94" s="103" t="s">
        <v>212</v>
      </c>
      <c r="D94" s="103" t="s">
        <v>358</v>
      </c>
      <c r="E94" s="103" t="s">
        <v>163</v>
      </c>
      <c r="F94" s="103" t="s">
        <v>169</v>
      </c>
      <c r="G94" s="103" t="s">
        <v>157</v>
      </c>
      <c r="H94" s="103" t="s">
        <v>94</v>
      </c>
      <c r="I94" s="103" t="s">
        <v>96</v>
      </c>
      <c r="J94" s="103" t="s">
        <v>213</v>
      </c>
      <c r="K94" s="103" t="s">
        <v>218</v>
      </c>
      <c r="L94" s="125" t="s">
        <v>221</v>
      </c>
      <c r="M94" s="84" t="s">
        <v>487</v>
      </c>
      <c r="N94" s="268" t="s">
        <v>1219</v>
      </c>
    </row>
    <row r="95" spans="1:17" x14ac:dyDescent="0.25">
      <c r="A95" s="233" t="s">
        <v>1219</v>
      </c>
      <c r="B95" s="80" t="s">
        <v>246</v>
      </c>
      <c r="C95" s="103" t="s">
        <v>290</v>
      </c>
      <c r="D95" s="103" t="s">
        <v>328</v>
      </c>
      <c r="E95" s="103" t="s">
        <v>153</v>
      </c>
      <c r="F95" s="103" t="s">
        <v>197</v>
      </c>
      <c r="G95" s="124" t="s">
        <v>101</v>
      </c>
      <c r="H95" s="103" t="s">
        <v>94</v>
      </c>
      <c r="I95" s="103" t="s">
        <v>95</v>
      </c>
      <c r="J95" s="103" t="s">
        <v>96</v>
      </c>
      <c r="K95" s="103" t="s">
        <v>213</v>
      </c>
      <c r="L95" s="125" t="s">
        <v>217</v>
      </c>
      <c r="M95" s="84" t="s">
        <v>458</v>
      </c>
      <c r="N95" s="268" t="s">
        <v>1219</v>
      </c>
    </row>
    <row r="96" spans="1:17" x14ac:dyDescent="0.25">
      <c r="A96" s="233" t="s">
        <v>1219</v>
      </c>
      <c r="B96" s="80" t="s">
        <v>254</v>
      </c>
      <c r="C96" s="103" t="s">
        <v>207</v>
      </c>
      <c r="D96" s="103" t="s">
        <v>340</v>
      </c>
      <c r="E96" s="103" t="s">
        <v>161</v>
      </c>
      <c r="F96" s="103" t="s">
        <v>133</v>
      </c>
      <c r="G96" s="124" t="s">
        <v>101</v>
      </c>
      <c r="H96" s="103" t="s">
        <v>96</v>
      </c>
      <c r="I96" s="103" t="s">
        <v>213</v>
      </c>
      <c r="J96" s="103" t="s">
        <v>215</v>
      </c>
      <c r="K96" s="103" t="s">
        <v>218</v>
      </c>
      <c r="L96" s="125" t="s">
        <v>220</v>
      </c>
      <c r="M96" s="84" t="s">
        <v>469</v>
      </c>
      <c r="N96" s="268" t="s">
        <v>1219</v>
      </c>
    </row>
    <row r="97" spans="1:14" x14ac:dyDescent="0.25">
      <c r="A97" s="233" t="s">
        <v>1219</v>
      </c>
      <c r="B97" s="80" t="s">
        <v>247</v>
      </c>
      <c r="C97" s="103" t="s">
        <v>290</v>
      </c>
      <c r="D97" s="396" t="s">
        <v>329</v>
      </c>
      <c r="E97" s="103" t="s">
        <v>169</v>
      </c>
      <c r="F97" s="103" t="s">
        <v>168</v>
      </c>
      <c r="G97" s="103" t="s">
        <v>7</v>
      </c>
      <c r="H97" s="103" t="s">
        <v>93</v>
      </c>
      <c r="I97" s="103" t="s">
        <v>95</v>
      </c>
      <c r="J97" s="103" t="s">
        <v>214</v>
      </c>
      <c r="K97" s="103" t="s">
        <v>219</v>
      </c>
      <c r="L97" s="125" t="s">
        <v>223</v>
      </c>
      <c r="M97" s="84" t="s">
        <v>459</v>
      </c>
      <c r="N97" s="268" t="s">
        <v>1219</v>
      </c>
    </row>
    <row r="98" spans="1:14" x14ac:dyDescent="0.25">
      <c r="A98" s="233" t="s">
        <v>1219</v>
      </c>
      <c r="B98" s="247" t="s">
        <v>1716</v>
      </c>
      <c r="C98" s="103" t="s">
        <v>212</v>
      </c>
      <c r="D98" s="396" t="s">
        <v>1717</v>
      </c>
      <c r="E98" s="103" t="s">
        <v>199</v>
      </c>
      <c r="F98" s="103" t="s">
        <v>1660</v>
      </c>
      <c r="G98" s="103"/>
      <c r="H98" s="103" t="s">
        <v>94</v>
      </c>
      <c r="I98" s="103" t="s">
        <v>95</v>
      </c>
      <c r="J98" s="103" t="s">
        <v>217</v>
      </c>
      <c r="K98" s="103" t="s">
        <v>218</v>
      </c>
      <c r="L98" s="125" t="s">
        <v>223</v>
      </c>
      <c r="M98" s="84" t="s">
        <v>1718</v>
      </c>
      <c r="N98" s="268" t="s">
        <v>1219</v>
      </c>
    </row>
    <row r="99" spans="1:14" x14ac:dyDescent="0.25">
      <c r="A99" s="233" t="s">
        <v>1219</v>
      </c>
      <c r="B99" s="80" t="s">
        <v>272</v>
      </c>
      <c r="C99" s="103" t="s">
        <v>138</v>
      </c>
      <c r="D99" s="103" t="s">
        <v>561</v>
      </c>
      <c r="E99" s="103" t="s">
        <v>173</v>
      </c>
      <c r="F99" s="103" t="s">
        <v>192</v>
      </c>
      <c r="G99" s="124" t="s">
        <v>101</v>
      </c>
      <c r="H99" s="103" t="s">
        <v>214</v>
      </c>
      <c r="I99" s="103" t="s">
        <v>216</v>
      </c>
      <c r="J99" s="103" t="s">
        <v>218</v>
      </c>
      <c r="K99" s="103" t="s">
        <v>222</v>
      </c>
      <c r="L99" s="125" t="s">
        <v>224</v>
      </c>
      <c r="M99" s="84" t="s">
        <v>480</v>
      </c>
      <c r="N99" s="268" t="s">
        <v>1219</v>
      </c>
    </row>
    <row r="100" spans="1:14" x14ac:dyDescent="0.25">
      <c r="A100" s="233" t="s">
        <v>1219</v>
      </c>
      <c r="B100" s="247" t="s">
        <v>1595</v>
      </c>
      <c r="C100" s="103" t="s">
        <v>207</v>
      </c>
      <c r="D100" s="103" t="s">
        <v>1597</v>
      </c>
      <c r="E100" s="103" t="s">
        <v>3</v>
      </c>
      <c r="F100" s="103" t="s">
        <v>193</v>
      </c>
      <c r="G100" s="124" t="s">
        <v>1588</v>
      </c>
      <c r="H100" s="103" t="s">
        <v>93</v>
      </c>
      <c r="I100" s="103" t="s">
        <v>94</v>
      </c>
      <c r="J100" s="103" t="s">
        <v>213</v>
      </c>
      <c r="K100" s="103" t="s">
        <v>216</v>
      </c>
      <c r="L100" s="125" t="s">
        <v>220</v>
      </c>
      <c r="M100" s="84" t="s">
        <v>1596</v>
      </c>
      <c r="N100" s="268" t="s">
        <v>1219</v>
      </c>
    </row>
    <row r="101" spans="1:14" x14ac:dyDescent="0.25">
      <c r="A101" s="233" t="s">
        <v>1219</v>
      </c>
      <c r="B101" s="202" t="s">
        <v>1062</v>
      </c>
      <c r="C101" s="103" t="s">
        <v>1033</v>
      </c>
      <c r="D101" s="103" t="s">
        <v>1063</v>
      </c>
      <c r="E101" s="103" t="s">
        <v>1051</v>
      </c>
      <c r="F101" s="103" t="s">
        <v>1065</v>
      </c>
      <c r="G101" s="124" t="s">
        <v>7</v>
      </c>
      <c r="H101" s="103" t="s">
        <v>93</v>
      </c>
      <c r="I101" s="103" t="s">
        <v>216</v>
      </c>
      <c r="J101" s="103" t="s">
        <v>219</v>
      </c>
      <c r="K101" s="103" t="s">
        <v>221</v>
      </c>
      <c r="L101" s="125" t="s">
        <v>222</v>
      </c>
      <c r="M101" s="84" t="s">
        <v>1064</v>
      </c>
      <c r="N101" s="268" t="s">
        <v>1219</v>
      </c>
    </row>
    <row r="102" spans="1:14" x14ac:dyDescent="0.25">
      <c r="A102" s="233" t="s">
        <v>1219</v>
      </c>
      <c r="B102" s="247" t="s">
        <v>1695</v>
      </c>
      <c r="C102" s="103" t="s">
        <v>211</v>
      </c>
      <c r="D102" s="103" t="s">
        <v>1697</v>
      </c>
      <c r="E102" s="103" t="s">
        <v>1668</v>
      </c>
      <c r="F102" s="103" t="s">
        <v>174</v>
      </c>
      <c r="G102" s="124" t="s">
        <v>6</v>
      </c>
      <c r="H102" s="103" t="s">
        <v>96</v>
      </c>
      <c r="I102" s="103" t="s">
        <v>213</v>
      </c>
      <c r="J102" s="103" t="s">
        <v>216</v>
      </c>
      <c r="K102" s="103" t="s">
        <v>218</v>
      </c>
      <c r="L102" s="125" t="s">
        <v>224</v>
      </c>
      <c r="M102" s="84" t="s">
        <v>1698</v>
      </c>
      <c r="N102" s="268" t="s">
        <v>1219</v>
      </c>
    </row>
    <row r="103" spans="1:14" x14ac:dyDescent="0.25">
      <c r="A103" s="233" t="s">
        <v>1219</v>
      </c>
      <c r="B103" s="247" t="s">
        <v>1696</v>
      </c>
      <c r="C103" s="103" t="s">
        <v>211</v>
      </c>
      <c r="D103" s="103" t="s">
        <v>1699</v>
      </c>
      <c r="E103" s="103" t="s">
        <v>1652</v>
      </c>
      <c r="F103" s="103" t="s">
        <v>6</v>
      </c>
      <c r="G103" s="124" t="s">
        <v>182</v>
      </c>
      <c r="H103" s="103" t="s">
        <v>94</v>
      </c>
      <c r="I103" s="103" t="s">
        <v>96</v>
      </c>
      <c r="J103" s="103" t="s">
        <v>213</v>
      </c>
      <c r="K103" s="103" t="s">
        <v>218</v>
      </c>
      <c r="L103" s="125" t="s">
        <v>224</v>
      </c>
      <c r="M103" s="84" t="s">
        <v>1700</v>
      </c>
      <c r="N103" s="268" t="s">
        <v>1219</v>
      </c>
    </row>
    <row r="104" spans="1:14" x14ac:dyDescent="0.25">
      <c r="A104" s="233" t="s">
        <v>1219</v>
      </c>
      <c r="B104" s="247" t="s">
        <v>1616</v>
      </c>
      <c r="C104" s="103" t="s">
        <v>208</v>
      </c>
      <c r="D104" s="103" t="s">
        <v>1618</v>
      </c>
      <c r="E104" s="103" t="s">
        <v>180</v>
      </c>
      <c r="F104" s="103" t="s">
        <v>198</v>
      </c>
      <c r="G104" s="124"/>
      <c r="H104" s="103" t="s">
        <v>93</v>
      </c>
      <c r="I104" s="103" t="s">
        <v>213</v>
      </c>
      <c r="J104" s="103" t="s">
        <v>214</v>
      </c>
      <c r="K104" s="103" t="s">
        <v>216</v>
      </c>
      <c r="L104" s="125" t="s">
        <v>222</v>
      </c>
      <c r="M104" s="84" t="s">
        <v>1617</v>
      </c>
      <c r="N104" s="268" t="s">
        <v>1219</v>
      </c>
    </row>
    <row r="105" spans="1:14" x14ac:dyDescent="0.25">
      <c r="A105" s="233" t="s">
        <v>1219</v>
      </c>
      <c r="B105" s="80" t="s">
        <v>248</v>
      </c>
      <c r="C105" s="103" t="s">
        <v>290</v>
      </c>
      <c r="D105" s="103" t="s">
        <v>330</v>
      </c>
      <c r="E105" s="103" t="s">
        <v>152</v>
      </c>
      <c r="F105" s="103" t="s">
        <v>162</v>
      </c>
      <c r="G105" s="124" t="s">
        <v>101</v>
      </c>
      <c r="H105" s="103" t="s">
        <v>95</v>
      </c>
      <c r="I105" s="103" t="s">
        <v>216</v>
      </c>
      <c r="J105" s="103" t="s">
        <v>219</v>
      </c>
      <c r="K105" s="103" t="s">
        <v>221</v>
      </c>
      <c r="L105" s="125" t="s">
        <v>224</v>
      </c>
      <c r="M105" s="84" t="s">
        <v>460</v>
      </c>
      <c r="N105" s="268" t="s">
        <v>1219</v>
      </c>
    </row>
    <row r="106" spans="1:14" x14ac:dyDescent="0.25">
      <c r="A106" s="233" t="s">
        <v>1219</v>
      </c>
      <c r="B106" s="80" t="s">
        <v>269</v>
      </c>
      <c r="C106" s="103" t="s">
        <v>210</v>
      </c>
      <c r="D106" s="103" t="s">
        <v>341</v>
      </c>
      <c r="E106" s="103" t="s">
        <v>200</v>
      </c>
      <c r="F106" s="103" t="s">
        <v>159</v>
      </c>
      <c r="G106" s="103" t="s">
        <v>1</v>
      </c>
      <c r="H106" s="103" t="s">
        <v>94</v>
      </c>
      <c r="I106" s="103" t="s">
        <v>96</v>
      </c>
      <c r="J106" s="103" t="s">
        <v>213</v>
      </c>
      <c r="K106" s="103" t="s">
        <v>217</v>
      </c>
      <c r="L106" s="125" t="s">
        <v>224</v>
      </c>
      <c r="M106" s="84" t="s">
        <v>470</v>
      </c>
      <c r="N106" s="268" t="s">
        <v>1219</v>
      </c>
    </row>
    <row r="107" spans="1:14" x14ac:dyDescent="0.25">
      <c r="A107" s="233" t="s">
        <v>1219</v>
      </c>
      <c r="B107" s="80" t="s">
        <v>249</v>
      </c>
      <c r="C107" s="103" t="s">
        <v>290</v>
      </c>
      <c r="D107" s="103" t="s">
        <v>331</v>
      </c>
      <c r="E107" s="103" t="s">
        <v>204</v>
      </c>
      <c r="F107" s="103" t="s">
        <v>6</v>
      </c>
      <c r="G107" s="124" t="s">
        <v>101</v>
      </c>
      <c r="H107" s="103" t="s">
        <v>96</v>
      </c>
      <c r="I107" s="103" t="s">
        <v>213</v>
      </c>
      <c r="J107" s="103" t="s">
        <v>216</v>
      </c>
      <c r="K107" s="103" t="s">
        <v>217</v>
      </c>
      <c r="L107" s="125" t="s">
        <v>220</v>
      </c>
      <c r="M107" s="84" t="s">
        <v>461</v>
      </c>
      <c r="N107" s="268" t="s">
        <v>1219</v>
      </c>
    </row>
    <row r="108" spans="1:14" x14ac:dyDescent="0.25">
      <c r="A108" s="233" t="s">
        <v>1219</v>
      </c>
      <c r="B108" s="202" t="s">
        <v>1047</v>
      </c>
      <c r="C108" s="103" t="s">
        <v>290</v>
      </c>
      <c r="D108" s="103" t="s">
        <v>1049</v>
      </c>
      <c r="E108" s="103" t="s">
        <v>1051</v>
      </c>
      <c r="F108" s="103" t="s">
        <v>1052</v>
      </c>
      <c r="G108" s="124" t="s">
        <v>101</v>
      </c>
      <c r="H108" s="103" t="s">
        <v>94</v>
      </c>
      <c r="I108" s="103" t="s">
        <v>216</v>
      </c>
      <c r="J108" s="103" t="s">
        <v>217</v>
      </c>
      <c r="K108" s="103" t="s">
        <v>218</v>
      </c>
      <c r="L108" s="125" t="s">
        <v>219</v>
      </c>
      <c r="M108" s="84" t="s">
        <v>1050</v>
      </c>
      <c r="N108" s="268" t="s">
        <v>1219</v>
      </c>
    </row>
    <row r="109" spans="1:14" x14ac:dyDescent="0.25">
      <c r="A109" s="233" t="s">
        <v>1219</v>
      </c>
      <c r="B109" s="80" t="s">
        <v>268</v>
      </c>
      <c r="C109" s="103" t="s">
        <v>209</v>
      </c>
      <c r="D109" s="103" t="s">
        <v>342</v>
      </c>
      <c r="E109" s="103" t="s">
        <v>189</v>
      </c>
      <c r="F109" s="103" t="s">
        <v>6</v>
      </c>
      <c r="G109" s="124" t="s">
        <v>101</v>
      </c>
      <c r="H109" s="103" t="s">
        <v>96</v>
      </c>
      <c r="I109" s="103" t="s">
        <v>216</v>
      </c>
      <c r="J109" s="103" t="s">
        <v>217</v>
      </c>
      <c r="K109" s="103" t="s">
        <v>218</v>
      </c>
      <c r="L109" s="125" t="s">
        <v>224</v>
      </c>
      <c r="M109" s="84" t="s">
        <v>471</v>
      </c>
      <c r="N109" s="268" t="s">
        <v>1219</v>
      </c>
    </row>
    <row r="110" spans="1:14" x14ac:dyDescent="0.25">
      <c r="A110" s="233" t="s">
        <v>1219</v>
      </c>
      <c r="B110" s="202" t="s">
        <v>1094</v>
      </c>
      <c r="C110" s="103" t="s">
        <v>1035</v>
      </c>
      <c r="D110" s="103" t="s">
        <v>1097</v>
      </c>
      <c r="E110" s="103" t="s">
        <v>1095</v>
      </c>
      <c r="F110" s="103" t="s">
        <v>186</v>
      </c>
      <c r="G110" s="124" t="s">
        <v>101</v>
      </c>
      <c r="H110" s="103" t="s">
        <v>93</v>
      </c>
      <c r="I110" s="103" t="s">
        <v>94</v>
      </c>
      <c r="J110" s="103" t="s">
        <v>215</v>
      </c>
      <c r="K110" s="103" t="s">
        <v>216</v>
      </c>
      <c r="L110" s="125" t="s">
        <v>224</v>
      </c>
      <c r="M110" s="84" t="s">
        <v>1096</v>
      </c>
      <c r="N110" s="268" t="s">
        <v>1219</v>
      </c>
    </row>
    <row r="111" spans="1:14" x14ac:dyDescent="0.25">
      <c r="A111" s="233" t="s">
        <v>1219</v>
      </c>
      <c r="B111" s="80" t="s">
        <v>250</v>
      </c>
      <c r="C111" s="103" t="s">
        <v>290</v>
      </c>
      <c r="D111" s="103" t="s">
        <v>332</v>
      </c>
      <c r="E111" s="103" t="s">
        <v>166</v>
      </c>
      <c r="F111" s="103" t="s">
        <v>200</v>
      </c>
      <c r="G111" s="124" t="s">
        <v>101</v>
      </c>
      <c r="H111" s="103" t="s">
        <v>214</v>
      </c>
      <c r="I111" s="103" t="s">
        <v>216</v>
      </c>
      <c r="J111" s="103" t="s">
        <v>218</v>
      </c>
      <c r="K111" s="103" t="s">
        <v>221</v>
      </c>
      <c r="L111" s="125" t="s">
        <v>222</v>
      </c>
      <c r="M111" s="84" t="s">
        <v>462</v>
      </c>
      <c r="N111" s="268" t="s">
        <v>1219</v>
      </c>
    </row>
    <row r="112" spans="1:14" x14ac:dyDescent="0.25">
      <c r="A112" s="233" t="s">
        <v>1219</v>
      </c>
      <c r="B112" s="247" t="s">
        <v>1598</v>
      </c>
      <c r="C112" s="103" t="s">
        <v>209</v>
      </c>
      <c r="D112" s="103" t="s">
        <v>1600</v>
      </c>
      <c r="E112" s="103" t="s">
        <v>1571</v>
      </c>
      <c r="F112" s="103" t="s">
        <v>1051</v>
      </c>
      <c r="G112" s="124"/>
      <c r="H112" s="103" t="s">
        <v>94</v>
      </c>
      <c r="I112" s="103" t="s">
        <v>95</v>
      </c>
      <c r="J112" s="103" t="s">
        <v>216</v>
      </c>
      <c r="K112" s="103" t="s">
        <v>219</v>
      </c>
      <c r="L112" s="125" t="s">
        <v>223</v>
      </c>
      <c r="M112" s="84" t="s">
        <v>1599</v>
      </c>
      <c r="N112" s="268" t="s">
        <v>1219</v>
      </c>
    </row>
    <row r="113" spans="2:14" x14ac:dyDescent="0.25">
      <c r="B113" s="80" t="s">
        <v>251</v>
      </c>
      <c r="C113" s="103" t="s">
        <v>290</v>
      </c>
      <c r="D113" s="103" t="s">
        <v>333</v>
      </c>
      <c r="E113" s="103" t="s">
        <v>177</v>
      </c>
      <c r="F113" s="103" t="s">
        <v>174</v>
      </c>
      <c r="G113" s="103" t="s">
        <v>7</v>
      </c>
      <c r="H113" s="103" t="s">
        <v>93</v>
      </c>
      <c r="I113" s="103" t="s">
        <v>96</v>
      </c>
      <c r="J113" s="103" t="s">
        <v>216</v>
      </c>
      <c r="K113" s="103" t="s">
        <v>219</v>
      </c>
      <c r="L113" s="125" t="s">
        <v>223</v>
      </c>
      <c r="M113" s="84" t="s">
        <v>463</v>
      </c>
      <c r="N113" s="268" t="s">
        <v>1219</v>
      </c>
    </row>
    <row r="114" spans="2:14" x14ac:dyDescent="0.25">
      <c r="B114" s="247" t="s">
        <v>1592</v>
      </c>
      <c r="C114" s="103" t="s">
        <v>263</v>
      </c>
      <c r="D114" s="103" t="s">
        <v>1594</v>
      </c>
      <c r="E114" s="103" t="s">
        <v>151</v>
      </c>
      <c r="F114" s="103" t="s">
        <v>194</v>
      </c>
      <c r="G114" s="103"/>
      <c r="H114" s="103" t="s">
        <v>96</v>
      </c>
      <c r="I114" s="103" t="s">
        <v>213</v>
      </c>
      <c r="J114" s="103" t="s">
        <v>218</v>
      </c>
      <c r="K114" s="103" t="s">
        <v>220</v>
      </c>
      <c r="L114" s="125" t="s">
        <v>224</v>
      </c>
      <c r="M114" s="84" t="s">
        <v>1593</v>
      </c>
      <c r="N114" s="268" t="s">
        <v>1219</v>
      </c>
    </row>
    <row r="115" spans="2:14" x14ac:dyDescent="0.25">
      <c r="B115" s="202" t="s">
        <v>1086</v>
      </c>
      <c r="C115" s="103" t="s">
        <v>1035</v>
      </c>
      <c r="D115" s="103" t="s">
        <v>1088</v>
      </c>
      <c r="E115" s="103" t="s">
        <v>161</v>
      </c>
      <c r="F115" s="103" t="s">
        <v>182</v>
      </c>
      <c r="G115" s="124" t="s">
        <v>101</v>
      </c>
      <c r="H115" s="103" t="s">
        <v>93</v>
      </c>
      <c r="I115" s="103" t="s">
        <v>214</v>
      </c>
      <c r="J115" s="103" t="s">
        <v>215</v>
      </c>
      <c r="K115" s="103" t="s">
        <v>222</v>
      </c>
      <c r="L115" s="125" t="s">
        <v>224</v>
      </c>
      <c r="M115" s="84" t="s">
        <v>1087</v>
      </c>
      <c r="N115" s="268" t="s">
        <v>1219</v>
      </c>
    </row>
    <row r="116" spans="2:14" x14ac:dyDescent="0.25">
      <c r="B116" s="80" t="s">
        <v>284</v>
      </c>
      <c r="C116" s="103" t="s">
        <v>141</v>
      </c>
      <c r="D116" s="103" t="s">
        <v>363</v>
      </c>
      <c r="E116" s="103" t="s">
        <v>303</v>
      </c>
      <c r="F116" s="103" t="s">
        <v>197</v>
      </c>
      <c r="G116" s="124" t="s">
        <v>101</v>
      </c>
      <c r="H116" s="103" t="s">
        <v>95</v>
      </c>
      <c r="I116" s="103" t="s">
        <v>215</v>
      </c>
      <c r="J116" s="103" t="s">
        <v>216</v>
      </c>
      <c r="K116" s="103" t="s">
        <v>219</v>
      </c>
      <c r="L116" s="125" t="s">
        <v>224</v>
      </c>
      <c r="M116" s="84" t="s">
        <v>491</v>
      </c>
      <c r="N116" s="268" t="s">
        <v>1219</v>
      </c>
    </row>
    <row r="117" spans="2:14" x14ac:dyDescent="0.25">
      <c r="B117" s="80" t="s">
        <v>285</v>
      </c>
      <c r="C117" s="103" t="s">
        <v>141</v>
      </c>
      <c r="D117" s="103" t="s">
        <v>364</v>
      </c>
      <c r="E117" s="103" t="s">
        <v>292</v>
      </c>
      <c r="F117" s="103" t="s">
        <v>7</v>
      </c>
      <c r="G117" s="124" t="s">
        <v>101</v>
      </c>
      <c r="H117" s="103" t="s">
        <v>95</v>
      </c>
      <c r="I117" s="103" t="s">
        <v>215</v>
      </c>
      <c r="J117" s="103" t="s">
        <v>217</v>
      </c>
      <c r="K117" s="103" t="s">
        <v>219</v>
      </c>
      <c r="L117" s="125" t="s">
        <v>224</v>
      </c>
      <c r="M117" s="84" t="s">
        <v>563</v>
      </c>
      <c r="N117" s="268" t="s">
        <v>1219</v>
      </c>
    </row>
    <row r="118" spans="2:14" x14ac:dyDescent="0.25">
      <c r="B118" s="80" t="s">
        <v>252</v>
      </c>
      <c r="C118" s="103" t="s">
        <v>290</v>
      </c>
      <c r="D118" s="103" t="s">
        <v>334</v>
      </c>
      <c r="E118" s="103" t="s">
        <v>189</v>
      </c>
      <c r="F118" s="103" t="s">
        <v>1</v>
      </c>
      <c r="G118" s="124" t="s">
        <v>101</v>
      </c>
      <c r="H118" s="103" t="s">
        <v>93</v>
      </c>
      <c r="I118" s="103" t="s">
        <v>215</v>
      </c>
      <c r="J118" s="103" t="s">
        <v>216</v>
      </c>
      <c r="K118" s="103" t="s">
        <v>223</v>
      </c>
      <c r="L118" s="125" t="s">
        <v>224</v>
      </c>
      <c r="M118" s="84" t="s">
        <v>464</v>
      </c>
      <c r="N118" s="268" t="s">
        <v>1219</v>
      </c>
    </row>
    <row r="119" spans="2:14" x14ac:dyDescent="0.25">
      <c r="B119" s="80" t="s">
        <v>273</v>
      </c>
      <c r="C119" s="103" t="s">
        <v>138</v>
      </c>
      <c r="D119" s="103" t="s">
        <v>353</v>
      </c>
      <c r="E119" s="103" t="s">
        <v>194</v>
      </c>
      <c r="F119" s="103" t="s">
        <v>194</v>
      </c>
      <c r="G119" s="103" t="s">
        <v>10</v>
      </c>
      <c r="H119" s="103" t="s">
        <v>213</v>
      </c>
      <c r="I119" s="103" t="s">
        <v>214</v>
      </c>
      <c r="J119" s="103" t="s">
        <v>218</v>
      </c>
      <c r="K119" s="103" t="s">
        <v>220</v>
      </c>
      <c r="L119" s="125" t="s">
        <v>221</v>
      </c>
      <c r="M119" s="84" t="s">
        <v>481</v>
      </c>
      <c r="N119" s="268" t="s">
        <v>1219</v>
      </c>
    </row>
    <row r="120" spans="2:14" x14ac:dyDescent="0.25">
      <c r="B120" s="80" t="s">
        <v>289</v>
      </c>
      <c r="C120" s="103" t="s">
        <v>142</v>
      </c>
      <c r="D120" s="103" t="s">
        <v>367</v>
      </c>
      <c r="E120" s="103" t="s">
        <v>194</v>
      </c>
      <c r="F120" s="103" t="s">
        <v>194</v>
      </c>
      <c r="G120" s="103" t="s">
        <v>10</v>
      </c>
      <c r="H120" s="103" t="s">
        <v>96</v>
      </c>
      <c r="I120" s="103" t="s">
        <v>214</v>
      </c>
      <c r="J120" s="103" t="s">
        <v>217</v>
      </c>
      <c r="K120" s="103" t="s">
        <v>218</v>
      </c>
      <c r="L120" s="125" t="s">
        <v>221</v>
      </c>
      <c r="M120" s="84" t="s">
        <v>493</v>
      </c>
      <c r="N120" s="268" t="s">
        <v>1219</v>
      </c>
    </row>
    <row r="121" spans="2:14" x14ac:dyDescent="0.25">
      <c r="B121" s="80" t="s">
        <v>253</v>
      </c>
      <c r="C121" s="103" t="s">
        <v>290</v>
      </c>
      <c r="D121" s="103" t="s">
        <v>335</v>
      </c>
      <c r="E121" s="103" t="s">
        <v>180</v>
      </c>
      <c r="F121" s="103" t="s">
        <v>184</v>
      </c>
      <c r="G121" s="124" t="s">
        <v>101</v>
      </c>
      <c r="H121" s="103" t="s">
        <v>213</v>
      </c>
      <c r="I121" s="103" t="s">
        <v>214</v>
      </c>
      <c r="J121" s="103" t="s">
        <v>216</v>
      </c>
      <c r="K121" s="103" t="s">
        <v>221</v>
      </c>
      <c r="L121" s="125" t="s">
        <v>222</v>
      </c>
      <c r="M121" s="84" t="s">
        <v>564</v>
      </c>
      <c r="N121" s="268" t="s">
        <v>1219</v>
      </c>
    </row>
    <row r="122" spans="2:14" x14ac:dyDescent="0.25">
      <c r="B122" s="247" t="s">
        <v>1686</v>
      </c>
      <c r="C122" s="103" t="s">
        <v>136</v>
      </c>
      <c r="D122" s="103" t="s">
        <v>1687</v>
      </c>
      <c r="E122" s="103" t="s">
        <v>1664</v>
      </c>
      <c r="F122" s="103" t="s">
        <v>200</v>
      </c>
      <c r="G122" s="124"/>
      <c r="H122" s="103" t="s">
        <v>93</v>
      </c>
      <c r="I122" s="103" t="s">
        <v>213</v>
      </c>
      <c r="J122" s="103" t="s">
        <v>220</v>
      </c>
      <c r="K122" s="103" t="s">
        <v>223</v>
      </c>
      <c r="L122" s="125" t="s">
        <v>224</v>
      </c>
      <c r="M122" s="84" t="s">
        <v>1688</v>
      </c>
      <c r="N122" s="268" t="s">
        <v>1219</v>
      </c>
    </row>
    <row r="123" spans="2:14" x14ac:dyDescent="0.25">
      <c r="B123" s="247" t="s">
        <v>1619</v>
      </c>
      <c r="C123" s="103" t="s">
        <v>208</v>
      </c>
      <c r="D123" s="103" t="s">
        <v>1621</v>
      </c>
      <c r="E123" s="103" t="s">
        <v>165</v>
      </c>
      <c r="F123" s="103" t="s">
        <v>9</v>
      </c>
      <c r="G123" s="124" t="s">
        <v>1590</v>
      </c>
      <c r="H123" s="103" t="s">
        <v>93</v>
      </c>
      <c r="I123" s="103" t="s">
        <v>94</v>
      </c>
      <c r="J123" s="103" t="s">
        <v>216</v>
      </c>
      <c r="K123" s="103" t="s">
        <v>223</v>
      </c>
      <c r="L123" s="125" t="s">
        <v>224</v>
      </c>
      <c r="M123" s="84" t="s">
        <v>1620</v>
      </c>
      <c r="N123" s="268" t="s">
        <v>1219</v>
      </c>
    </row>
    <row r="124" spans="2:14" x14ac:dyDescent="0.25">
      <c r="B124" s="202" t="s">
        <v>1048</v>
      </c>
      <c r="C124" s="103" t="s">
        <v>290</v>
      </c>
      <c r="D124" s="103" t="s">
        <v>1053</v>
      </c>
      <c r="E124" s="103" t="s">
        <v>1042</v>
      </c>
      <c r="F124" s="103" t="s">
        <v>1043</v>
      </c>
      <c r="G124" s="124" t="s">
        <v>101</v>
      </c>
      <c r="H124" s="103" t="s">
        <v>95</v>
      </c>
      <c r="I124" s="103" t="s">
        <v>213</v>
      </c>
      <c r="J124" s="103" t="s">
        <v>214</v>
      </c>
      <c r="K124" s="103" t="s">
        <v>219</v>
      </c>
      <c r="L124" s="125" t="s">
        <v>222</v>
      </c>
      <c r="M124" s="84" t="s">
        <v>1054</v>
      </c>
      <c r="N124" s="268" t="s">
        <v>1219</v>
      </c>
    </row>
    <row r="125" spans="2:14" x14ac:dyDescent="0.25">
      <c r="B125" s="80" t="s">
        <v>280</v>
      </c>
      <c r="C125" s="103" t="s">
        <v>212</v>
      </c>
      <c r="D125" s="103" t="s">
        <v>359</v>
      </c>
      <c r="E125" s="103" t="s">
        <v>194</v>
      </c>
      <c r="F125" s="103" t="s">
        <v>194</v>
      </c>
      <c r="G125" s="103" t="s">
        <v>9</v>
      </c>
      <c r="H125" s="103" t="s">
        <v>94</v>
      </c>
      <c r="I125" s="103" t="s">
        <v>215</v>
      </c>
      <c r="J125" s="103" t="s">
        <v>217</v>
      </c>
      <c r="K125" s="103" t="s">
        <v>221</v>
      </c>
      <c r="L125" s="125" t="s">
        <v>222</v>
      </c>
      <c r="M125" s="84" t="s">
        <v>488</v>
      </c>
      <c r="N125" s="268" t="s">
        <v>1219</v>
      </c>
    </row>
    <row r="126" spans="2:14" x14ac:dyDescent="0.25">
      <c r="B126" s="80" t="s">
        <v>275</v>
      </c>
      <c r="C126" s="103" t="s">
        <v>211</v>
      </c>
      <c r="D126" s="103" t="s">
        <v>355</v>
      </c>
      <c r="E126" s="103" t="s">
        <v>4</v>
      </c>
      <c r="F126" s="103" t="s">
        <v>198</v>
      </c>
      <c r="G126" s="103" t="s">
        <v>157</v>
      </c>
      <c r="H126" s="103" t="s">
        <v>95</v>
      </c>
      <c r="I126" s="103" t="s">
        <v>213</v>
      </c>
      <c r="J126" s="103" t="s">
        <v>214</v>
      </c>
      <c r="K126" s="103" t="s">
        <v>216</v>
      </c>
      <c r="L126" s="125" t="s">
        <v>222</v>
      </c>
      <c r="M126" s="84" t="s">
        <v>483</v>
      </c>
      <c r="N126" s="268" t="s">
        <v>1219</v>
      </c>
    </row>
    <row r="127" spans="2:14" x14ac:dyDescent="0.25">
      <c r="B127" s="202" t="s">
        <v>1059</v>
      </c>
      <c r="C127" s="103" t="s">
        <v>1033</v>
      </c>
      <c r="D127" s="103" t="s">
        <v>1060</v>
      </c>
      <c r="E127" s="103" t="s">
        <v>1051</v>
      </c>
      <c r="F127" s="103" t="s">
        <v>193</v>
      </c>
      <c r="G127" s="103" t="s">
        <v>7</v>
      </c>
      <c r="H127" s="103" t="s">
        <v>93</v>
      </c>
      <c r="I127" s="103" t="s">
        <v>94</v>
      </c>
      <c r="J127" s="103" t="s">
        <v>215</v>
      </c>
      <c r="K127" s="103" t="s">
        <v>216</v>
      </c>
      <c r="L127" s="125" t="s">
        <v>219</v>
      </c>
      <c r="M127" s="84" t="s">
        <v>1061</v>
      </c>
      <c r="N127" s="268" t="s">
        <v>1219</v>
      </c>
    </row>
    <row r="128" spans="2:14" x14ac:dyDescent="0.25">
      <c r="B128" s="247" t="s">
        <v>1719</v>
      </c>
      <c r="C128" s="103" t="s">
        <v>212</v>
      </c>
      <c r="D128" s="103" t="s">
        <v>1720</v>
      </c>
      <c r="E128" s="103" t="s">
        <v>3</v>
      </c>
      <c r="F128" s="103" t="s">
        <v>194</v>
      </c>
      <c r="G128" s="103" t="s">
        <v>194</v>
      </c>
      <c r="H128" s="103" t="s">
        <v>96</v>
      </c>
      <c r="I128" s="103" t="s">
        <v>214</v>
      </c>
      <c r="J128" s="103" t="s">
        <v>216</v>
      </c>
      <c r="K128" s="103" t="s">
        <v>220</v>
      </c>
      <c r="L128" s="125" t="s">
        <v>221</v>
      </c>
      <c r="M128" s="84" t="s">
        <v>1721</v>
      </c>
      <c r="N128" s="268" t="s">
        <v>1219</v>
      </c>
    </row>
    <row r="129" spans="2:14" x14ac:dyDescent="0.25">
      <c r="B129" s="80" t="s">
        <v>261</v>
      </c>
      <c r="C129" s="103" t="s">
        <v>136</v>
      </c>
      <c r="D129" s="103" t="s">
        <v>349</v>
      </c>
      <c r="E129" s="103" t="s">
        <v>302</v>
      </c>
      <c r="F129" s="103" t="s">
        <v>171</v>
      </c>
      <c r="G129" s="124" t="s">
        <v>101</v>
      </c>
      <c r="H129" s="103" t="s">
        <v>93</v>
      </c>
      <c r="I129" s="103" t="s">
        <v>94</v>
      </c>
      <c r="J129" s="103" t="s">
        <v>95</v>
      </c>
      <c r="K129" s="103" t="s">
        <v>216</v>
      </c>
      <c r="L129" s="125" t="s">
        <v>224</v>
      </c>
      <c r="M129" s="84" t="s">
        <v>476</v>
      </c>
      <c r="N129" s="268" t="s">
        <v>1219</v>
      </c>
    </row>
    <row r="130" spans="2:14" x14ac:dyDescent="0.25">
      <c r="B130" s="80" t="s">
        <v>267</v>
      </c>
      <c r="C130" s="103" t="s">
        <v>263</v>
      </c>
      <c r="D130" s="103" t="s">
        <v>339</v>
      </c>
      <c r="E130" s="103" t="s">
        <v>204</v>
      </c>
      <c r="F130" s="103" t="s">
        <v>9</v>
      </c>
      <c r="G130" s="124" t="s">
        <v>101</v>
      </c>
      <c r="H130" s="103" t="s">
        <v>93</v>
      </c>
      <c r="I130" s="103" t="s">
        <v>213</v>
      </c>
      <c r="J130" s="103" t="s">
        <v>216</v>
      </c>
      <c r="K130" s="103" t="s">
        <v>220</v>
      </c>
      <c r="L130" s="125" t="s">
        <v>221</v>
      </c>
      <c r="M130" s="84" t="s">
        <v>468</v>
      </c>
      <c r="N130" s="268" t="s">
        <v>1219</v>
      </c>
    </row>
    <row r="131" spans="2:14" x14ac:dyDescent="0.25">
      <c r="B131" s="247" t="s">
        <v>1605</v>
      </c>
      <c r="C131" s="103" t="s">
        <v>141</v>
      </c>
      <c r="D131" s="103" t="s">
        <v>1607</v>
      </c>
      <c r="E131" s="103" t="s">
        <v>194</v>
      </c>
      <c r="F131" s="103" t="s">
        <v>194</v>
      </c>
      <c r="G131" s="124" t="s">
        <v>6</v>
      </c>
      <c r="H131" s="103" t="s">
        <v>96</v>
      </c>
      <c r="I131" s="103" t="s">
        <v>215</v>
      </c>
      <c r="J131" s="103" t="s">
        <v>217</v>
      </c>
      <c r="K131" s="103" t="s">
        <v>218</v>
      </c>
      <c r="L131" s="125" t="s">
        <v>220</v>
      </c>
      <c r="M131" s="84" t="s">
        <v>1606</v>
      </c>
      <c r="N131" s="268" t="s">
        <v>1219</v>
      </c>
    </row>
    <row r="132" spans="2:14" x14ac:dyDescent="0.25">
      <c r="B132" s="80" t="s">
        <v>262</v>
      </c>
      <c r="C132" s="103" t="s">
        <v>136</v>
      </c>
      <c r="D132" s="103" t="s">
        <v>350</v>
      </c>
      <c r="E132" s="103" t="s">
        <v>174</v>
      </c>
      <c r="F132" s="103" t="s">
        <v>198</v>
      </c>
      <c r="G132" s="103" t="s">
        <v>7</v>
      </c>
      <c r="H132" s="103" t="s">
        <v>95</v>
      </c>
      <c r="I132" s="103" t="s">
        <v>214</v>
      </c>
      <c r="J132" s="103" t="s">
        <v>219</v>
      </c>
      <c r="K132" s="103" t="s">
        <v>222</v>
      </c>
      <c r="L132" s="125" t="s">
        <v>223</v>
      </c>
      <c r="M132" s="84" t="s">
        <v>477</v>
      </c>
      <c r="N132" s="268" t="s">
        <v>1219</v>
      </c>
    </row>
    <row r="133" spans="2:14" x14ac:dyDescent="0.25">
      <c r="B133" s="247" t="s">
        <v>1630</v>
      </c>
      <c r="C133" s="103" t="s">
        <v>138</v>
      </c>
      <c r="D133" s="103" t="s">
        <v>1639</v>
      </c>
      <c r="E133" s="103" t="s">
        <v>161</v>
      </c>
      <c r="F133" s="103" t="s">
        <v>205</v>
      </c>
      <c r="G133" s="103"/>
      <c r="H133" s="103" t="s">
        <v>96</v>
      </c>
      <c r="I133" s="103" t="s">
        <v>213</v>
      </c>
      <c r="J133" s="103" t="s">
        <v>215</v>
      </c>
      <c r="K133" s="103" t="s">
        <v>216</v>
      </c>
      <c r="L133" s="125" t="s">
        <v>221</v>
      </c>
      <c r="M133" s="84" t="s">
        <v>1638</v>
      </c>
      <c r="N133" s="268" t="s">
        <v>1219</v>
      </c>
    </row>
    <row r="134" spans="2:14" x14ac:dyDescent="0.25">
      <c r="B134" s="202" t="s">
        <v>1123</v>
      </c>
      <c r="C134" s="103" t="s">
        <v>1037</v>
      </c>
      <c r="D134" s="103" t="s">
        <v>1124</v>
      </c>
      <c r="E134" s="103" t="s">
        <v>1125</v>
      </c>
      <c r="F134" s="103" t="s">
        <v>162</v>
      </c>
      <c r="G134" s="124" t="s">
        <v>101</v>
      </c>
      <c r="H134" s="103" t="s">
        <v>93</v>
      </c>
      <c r="I134" s="103" t="s">
        <v>94</v>
      </c>
      <c r="J134" s="103" t="s">
        <v>216</v>
      </c>
      <c r="K134" s="103" t="s">
        <v>219</v>
      </c>
      <c r="L134" s="125" t="s">
        <v>224</v>
      </c>
      <c r="M134" s="84" t="s">
        <v>1126</v>
      </c>
      <c r="N134" s="268" t="s">
        <v>1219</v>
      </c>
    </row>
    <row r="135" spans="2:14" x14ac:dyDescent="0.25">
      <c r="B135" s="80" t="s">
        <v>281</v>
      </c>
      <c r="C135" s="103" t="s">
        <v>212</v>
      </c>
      <c r="D135" s="103" t="s">
        <v>360</v>
      </c>
      <c r="E135" s="103" t="s">
        <v>1</v>
      </c>
      <c r="F135" s="103" t="s">
        <v>7</v>
      </c>
      <c r="G135" s="103" t="s">
        <v>182</v>
      </c>
      <c r="H135" s="103" t="s">
        <v>94</v>
      </c>
      <c r="I135" s="103" t="s">
        <v>95</v>
      </c>
      <c r="J135" s="103" t="s">
        <v>216</v>
      </c>
      <c r="K135" s="103" t="s">
        <v>219</v>
      </c>
      <c r="L135" s="125" t="s">
        <v>224</v>
      </c>
      <c r="M135" s="84" t="s">
        <v>489</v>
      </c>
      <c r="N135" s="268" t="s">
        <v>1219</v>
      </c>
    </row>
    <row r="136" spans="2:14" x14ac:dyDescent="0.25">
      <c r="B136" s="247" t="s">
        <v>1722</v>
      </c>
      <c r="C136" s="103" t="s">
        <v>142</v>
      </c>
      <c r="D136" s="103" t="s">
        <v>1723</v>
      </c>
      <c r="E136" s="103" t="s">
        <v>157</v>
      </c>
      <c r="F136" s="103" t="s">
        <v>4</v>
      </c>
      <c r="G136" s="103" t="s">
        <v>1740</v>
      </c>
      <c r="H136" s="103" t="s">
        <v>96</v>
      </c>
      <c r="I136" s="103" t="s">
        <v>213</v>
      </c>
      <c r="J136" s="103" t="s">
        <v>214</v>
      </c>
      <c r="K136" s="103" t="s">
        <v>217</v>
      </c>
      <c r="L136" s="125" t="s">
        <v>222</v>
      </c>
      <c r="M136" s="84" t="s">
        <v>1724</v>
      </c>
      <c r="N136" s="268" t="s">
        <v>1219</v>
      </c>
    </row>
    <row r="137" spans="2:14" x14ac:dyDescent="0.25">
      <c r="B137" s="80" t="s">
        <v>276</v>
      </c>
      <c r="C137" s="103" t="s">
        <v>211</v>
      </c>
      <c r="D137" s="103" t="s">
        <v>567</v>
      </c>
      <c r="E137" s="103" t="s">
        <v>202</v>
      </c>
      <c r="F137" s="103" t="s">
        <v>200</v>
      </c>
      <c r="G137" s="124" t="s">
        <v>101</v>
      </c>
      <c r="H137" s="103" t="s">
        <v>96</v>
      </c>
      <c r="I137" s="103" t="s">
        <v>216</v>
      </c>
      <c r="J137" s="103" t="s">
        <v>218</v>
      </c>
      <c r="K137" s="103" t="s">
        <v>223</v>
      </c>
      <c r="L137" s="125" t="s">
        <v>224</v>
      </c>
      <c r="M137" s="84" t="s">
        <v>484</v>
      </c>
      <c r="N137" s="268" t="s">
        <v>1219</v>
      </c>
    </row>
    <row r="138" spans="2:14" x14ac:dyDescent="0.25">
      <c r="B138" s="80" t="s">
        <v>277</v>
      </c>
      <c r="C138" s="103" t="s">
        <v>211</v>
      </c>
      <c r="D138" s="103" t="s">
        <v>356</v>
      </c>
      <c r="E138" s="103" t="s">
        <v>194</v>
      </c>
      <c r="F138" s="103" t="s">
        <v>194</v>
      </c>
      <c r="G138" s="103" t="s">
        <v>6</v>
      </c>
      <c r="H138" s="103" t="s">
        <v>94</v>
      </c>
      <c r="I138" s="103" t="s">
        <v>96</v>
      </c>
      <c r="J138" s="103" t="s">
        <v>217</v>
      </c>
      <c r="K138" s="103" t="s">
        <v>220</v>
      </c>
      <c r="L138" s="125" t="s">
        <v>224</v>
      </c>
      <c r="M138" s="84" t="s">
        <v>485</v>
      </c>
      <c r="N138" s="268" t="s">
        <v>1219</v>
      </c>
    </row>
    <row r="139" spans="2:14" x14ac:dyDescent="0.25">
      <c r="B139" s="6"/>
      <c r="C139" s="233"/>
      <c r="D139" s="233"/>
      <c r="E139" s="233"/>
      <c r="F139" s="233"/>
      <c r="G139" s="233"/>
      <c r="H139" s="233"/>
      <c r="I139" s="233"/>
      <c r="J139" s="233"/>
      <c r="K139" s="233"/>
      <c r="L139" s="8"/>
      <c r="M139" s="13"/>
      <c r="N139" s="233" t="s">
        <v>1219</v>
      </c>
    </row>
    <row r="140" spans="2:14" x14ac:dyDescent="0.25">
      <c r="B140" s="230"/>
      <c r="C140" s="10"/>
      <c r="D140" s="10"/>
      <c r="E140" s="10"/>
      <c r="F140" s="10"/>
      <c r="G140" s="10"/>
      <c r="H140" s="10"/>
      <c r="I140" s="10"/>
      <c r="J140" s="10"/>
      <c r="K140" s="10"/>
      <c r="L140" s="231"/>
      <c r="M140" s="14"/>
      <c r="N140" s="233" t="s">
        <v>1219</v>
      </c>
    </row>
  </sheetData>
  <sortState ref="B3:M128">
    <sortCondition ref="B12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builder</vt:lpstr>
      <vt:lpstr>advantages</vt:lpstr>
      <vt:lpstr>print</vt:lpstr>
      <vt:lpstr>sheet</vt:lpstr>
      <vt:lpstr>adv shuffle</vt:lpstr>
      <vt:lpstr>styles</vt:lpstr>
      <vt:lpstr>backgrounds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2016-07-06T18:12:31Z</cp:lastPrinted>
  <dcterms:created xsi:type="dcterms:W3CDTF">2016-06-14T20:11:28Z</dcterms:created>
  <dcterms:modified xsi:type="dcterms:W3CDTF">2017-11-14T01:09:41Z</dcterms:modified>
</cp:coreProperties>
</file>