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05" yWindow="0" windowWidth="18135" windowHeight="13290"/>
  </bookViews>
  <sheets>
    <sheet name="Welcome" sheetId="5" r:id="rId1"/>
    <sheet name="builder" sheetId="1" r:id="rId2"/>
    <sheet name="print" sheetId="3" r:id="rId3"/>
    <sheet name="sheet" sheetId="2" r:id="rId4"/>
    <sheet name="adv shuffle" sheetId="4" state="hidden" r:id="rId5"/>
    <sheet name="styles" sheetId="6" state="hidden" r:id="rId6"/>
  </sheets>
  <calcPr calcId="145621"/>
</workbook>
</file>

<file path=xl/calcChain.xml><?xml version="1.0" encoding="utf-8"?>
<calcChain xmlns="http://schemas.openxmlformats.org/spreadsheetml/2006/main">
  <c r="AS26" i="1" l="1"/>
  <c r="AS20" i="1"/>
  <c r="E106" i="1" l="1"/>
  <c r="M33" i="4"/>
  <c r="L32" i="4"/>
  <c r="M32" i="4" s="1"/>
  <c r="L33" i="4"/>
  <c r="L31" i="4"/>
  <c r="M31" i="4" s="1"/>
  <c r="N31" i="4" l="1"/>
  <c r="O31" i="4" s="1"/>
  <c r="N33" i="4"/>
  <c r="O33" i="4" s="1"/>
  <c r="N32" i="4"/>
  <c r="O32" i="4" s="1"/>
  <c r="X3" i="2"/>
  <c r="X11" i="2"/>
  <c r="S35" i="4"/>
  <c r="S28" i="4"/>
  <c r="P4" i="4"/>
  <c r="P5" i="4"/>
  <c r="P6" i="4"/>
  <c r="P7" i="4" s="1"/>
  <c r="P8" i="4" s="1"/>
  <c r="P9" i="4" s="1"/>
  <c r="P10" i="4" s="1"/>
  <c r="P11" i="4" s="1"/>
  <c r="P12" i="4" s="1"/>
  <c r="P13" i="4" s="1"/>
  <c r="P14" i="4" s="1"/>
  <c r="P15" i="4" s="1"/>
  <c r="P16" i="4" s="1"/>
  <c r="P17" i="4" s="1"/>
  <c r="P18" i="4" s="1"/>
  <c r="P19" i="4" s="1"/>
  <c r="P20" i="4" s="1"/>
  <c r="P21" i="4" s="1"/>
  <c r="P22" i="4" s="1"/>
  <c r="P23" i="4" s="1"/>
  <c r="P24" i="4" s="1"/>
  <c r="P25" i="4" s="1"/>
  <c r="P26" i="4" s="1"/>
  <c r="P27" i="4" s="1"/>
  <c r="P28" i="4" s="1"/>
  <c r="P29" i="4" s="1"/>
  <c r="P30" i="4" s="1"/>
  <c r="P31" i="4" s="1"/>
  <c r="P32" i="4" s="1"/>
  <c r="P33" i="4" s="1"/>
  <c r="P34" i="4" s="1"/>
  <c r="P35" i="4" s="1"/>
  <c r="P36" i="4" s="1"/>
  <c r="P37" i="4" s="1"/>
  <c r="P38" i="4" s="1"/>
  <c r="P39" i="4" s="1"/>
  <c r="P40" i="4" s="1"/>
  <c r="P41" i="4" s="1"/>
  <c r="P42" i="4" s="1"/>
  <c r="P43" i="4" s="1"/>
  <c r="P44" i="4" s="1"/>
  <c r="P45" i="4" s="1"/>
  <c r="P46" i="4" s="1"/>
  <c r="P47" i="4" s="1"/>
  <c r="P48" i="4" s="1"/>
  <c r="P49" i="4" s="1"/>
  <c r="P50" i="4" s="1"/>
  <c r="P51" i="4" s="1"/>
  <c r="P52" i="4" s="1"/>
  <c r="P53" i="4" s="1"/>
  <c r="P54" i="4" s="1"/>
  <c r="P55" i="4" s="1"/>
  <c r="P56" i="4" s="1"/>
  <c r="P3" i="4"/>
  <c r="T81" i="1"/>
  <c r="T80" i="1"/>
  <c r="T79" i="1"/>
  <c r="T77" i="1"/>
  <c r="T76" i="1"/>
  <c r="X51" i="2" l="1"/>
  <c r="B110" i="3"/>
  <c r="B104" i="3"/>
  <c r="B107" i="3"/>
  <c r="C107" i="3" l="1"/>
  <c r="B108" i="3"/>
  <c r="C110" i="3"/>
  <c r="X50" i="2" s="1"/>
  <c r="B111" i="3"/>
  <c r="C104" i="3"/>
  <c r="X52" i="2" s="1"/>
  <c r="B105" i="3"/>
  <c r="N7" i="3"/>
  <c r="S20" i="3"/>
  <c r="S19" i="3"/>
  <c r="C44" i="2"/>
  <c r="C43" i="2"/>
  <c r="X53" i="2" l="1"/>
  <c r="C47" i="2"/>
  <c r="C46" i="2"/>
  <c r="C45" i="2"/>
  <c r="C20" i="2"/>
  <c r="C17" i="2"/>
  <c r="C15" i="2"/>
  <c r="C13" i="2"/>
  <c r="C10" i="2"/>
  <c r="C7" i="2"/>
  <c r="C4" i="2"/>
  <c r="P86" i="1" l="1"/>
  <c r="C14" i="3"/>
  <c r="B15" i="3" s="1"/>
  <c r="G103" i="1" s="1"/>
  <c r="C11" i="3"/>
  <c r="B12" i="3" s="1"/>
  <c r="G99" i="1" s="1"/>
  <c r="B17" i="4"/>
  <c r="H17" i="4" s="1"/>
  <c r="K17" i="4" s="1"/>
  <c r="B18" i="4"/>
  <c r="H18" i="4" s="1"/>
  <c r="K18" i="4" s="1"/>
  <c r="B19" i="4"/>
  <c r="B20" i="4"/>
  <c r="H20" i="4" s="1"/>
  <c r="K20" i="4" s="1"/>
  <c r="B21" i="4"/>
  <c r="H21" i="4" s="1"/>
  <c r="K21" i="4" s="1"/>
  <c r="B22" i="4"/>
  <c r="H22" i="4" s="1"/>
  <c r="K22" i="4" s="1"/>
  <c r="B23" i="4"/>
  <c r="H23" i="4" s="1"/>
  <c r="K23" i="4" s="1"/>
  <c r="B16" i="4"/>
  <c r="O76" i="1"/>
  <c r="O100" i="1"/>
  <c r="E100" i="1"/>
  <c r="E99" i="1"/>
  <c r="P71" i="1"/>
  <c r="P73" i="1"/>
  <c r="P74" i="1"/>
  <c r="M26" i="1"/>
  <c r="M22" i="1"/>
  <c r="B53" i="2" l="1"/>
  <c r="C25" i="2"/>
  <c r="B27" i="2"/>
  <c r="C32" i="2"/>
  <c r="B35" i="2"/>
  <c r="H16" i="4"/>
  <c r="K16" i="4" s="1"/>
  <c r="H19" i="4"/>
  <c r="K19" i="4" s="1"/>
  <c r="Q119" i="3"/>
  <c r="Q170" i="3"/>
  <c r="B43" i="4"/>
  <c r="B44" i="4"/>
  <c r="B48" i="4"/>
  <c r="B34" i="4"/>
  <c r="B35" i="4"/>
  <c r="B36" i="4"/>
  <c r="Q29" i="4"/>
  <c r="S29" i="4" s="1"/>
  <c r="R31" i="4" l="1"/>
  <c r="Q31" i="4"/>
  <c r="S31" i="4" s="1"/>
  <c r="R30" i="4"/>
  <c r="Q30" i="4"/>
  <c r="B115" i="3"/>
  <c r="B117" i="3"/>
  <c r="B113" i="3"/>
  <c r="R29" i="4"/>
  <c r="E108" i="1"/>
  <c r="E107" i="1"/>
  <c r="D74" i="1"/>
  <c r="D73" i="1"/>
  <c r="D72" i="1"/>
  <c r="D68" i="1"/>
  <c r="G41" i="1"/>
  <c r="E38" i="1"/>
  <c r="B38" i="1"/>
  <c r="T10" i="1"/>
  <c r="D67" i="1" s="1"/>
  <c r="E10" i="1"/>
  <c r="F10" i="1" s="1"/>
  <c r="P10" i="1" s="1"/>
  <c r="G8" i="1"/>
  <c r="S129" i="1"/>
  <c r="S30" i="4" l="1"/>
  <c r="B114" i="3"/>
  <c r="R32" i="4" s="1"/>
  <c r="Q32" i="4"/>
  <c r="S32" i="4" s="1"/>
  <c r="B118" i="3"/>
  <c r="R34" i="4" s="1"/>
  <c r="Q34" i="4"/>
  <c r="S34" i="4" s="1"/>
  <c r="B116" i="3"/>
  <c r="R33" i="4" s="1"/>
  <c r="Q33" i="4"/>
  <c r="S33" i="4" s="1"/>
  <c r="N4" i="2"/>
  <c r="M4" i="2"/>
  <c r="O4" i="2"/>
  <c r="Y128" i="1"/>
  <c r="Y124" i="1"/>
  <c r="Y126" i="1"/>
  <c r="Y125" i="1"/>
  <c r="Y127" i="1"/>
  <c r="Y129" i="1"/>
  <c r="C69" i="6"/>
  <c r="C70" i="6"/>
  <c r="C71" i="6"/>
  <c r="C68" i="6"/>
  <c r="B9" i="4" l="1"/>
  <c r="H9" i="4" s="1"/>
  <c r="K9" i="4" s="1"/>
  <c r="B10" i="4"/>
  <c r="H10" i="4" s="1"/>
  <c r="K10" i="4" s="1"/>
  <c r="B11" i="4"/>
  <c r="H11" i="4" s="1"/>
  <c r="K11" i="4" s="1"/>
  <c r="B12" i="4"/>
  <c r="H12" i="4" s="1"/>
  <c r="K12" i="4" s="1"/>
  <c r="B13" i="4"/>
  <c r="H13" i="4" s="1"/>
  <c r="K13" i="4" s="1"/>
  <c r="B14" i="4"/>
  <c r="H14" i="4" s="1"/>
  <c r="K14" i="4" s="1"/>
  <c r="B15" i="4"/>
  <c r="H15" i="4" s="1"/>
  <c r="K15" i="4" s="1"/>
  <c r="B8" i="4"/>
  <c r="H8" i="4" s="1"/>
  <c r="K8" i="4" s="1"/>
  <c r="Q74" i="3"/>
  <c r="S23" i="3" l="1"/>
  <c r="S22" i="3"/>
  <c r="S21" i="3"/>
  <c r="Q49" i="3"/>
  <c r="B26" i="3"/>
  <c r="N6" i="3"/>
  <c r="Q100" i="3"/>
  <c r="B36" i="3"/>
  <c r="AS27" i="1" s="1"/>
  <c r="B35" i="3"/>
  <c r="B30" i="3"/>
  <c r="AS21" i="1" s="1"/>
  <c r="B29" i="3"/>
  <c r="C8" i="3"/>
  <c r="C7" i="3"/>
  <c r="C6" i="3"/>
  <c r="C5" i="3"/>
  <c r="C4" i="3"/>
  <c r="C3" i="3"/>
  <c r="C2" i="3"/>
  <c r="B120" i="3" s="1"/>
  <c r="B59" i="2" l="1"/>
  <c r="B60" i="2"/>
  <c r="C60" i="2"/>
  <c r="C59" i="2"/>
  <c r="B101" i="3"/>
  <c r="B75" i="3"/>
  <c r="B50" i="3"/>
  <c r="F24" i="1"/>
  <c r="B24" i="1"/>
  <c r="E32" i="1"/>
  <c r="E30" i="1"/>
  <c r="B32" i="1"/>
  <c r="T26" i="1"/>
  <c r="D70" i="1" s="1"/>
  <c r="T82" i="1"/>
  <c r="T71" i="1"/>
  <c r="T61" i="1"/>
  <c r="T50" i="1"/>
  <c r="T47" i="1"/>
  <c r="T45" i="1"/>
  <c r="T37" i="1"/>
  <c r="D71" i="1" s="1"/>
  <c r="T11" i="1"/>
  <c r="T84" i="1"/>
  <c r="T68" i="1"/>
  <c r="T65" i="1"/>
  <c r="P72" i="1" s="1"/>
  <c r="T60" i="1"/>
  <c r="T57" i="1"/>
  <c r="T53" i="1"/>
  <c r="P67" i="1" s="1"/>
  <c r="T51" i="1"/>
  <c r="T33" i="1"/>
  <c r="T31" i="1"/>
  <c r="T27" i="1"/>
  <c r="T23" i="1"/>
  <c r="T18" i="1"/>
  <c r="T17" i="1"/>
  <c r="T16" i="1"/>
  <c r="P69" i="1" s="1"/>
  <c r="T14" i="1"/>
  <c r="T13" i="1"/>
  <c r="T83" i="1"/>
  <c r="T73" i="1"/>
  <c r="T69" i="1"/>
  <c r="D69" i="1" s="1"/>
  <c r="T66" i="1"/>
  <c r="T63" i="1"/>
  <c r="T59" i="1"/>
  <c r="T58" i="1"/>
  <c r="T56" i="1"/>
  <c r="T54" i="1"/>
  <c r="T48" i="1"/>
  <c r="T41" i="1"/>
  <c r="T40" i="1"/>
  <c r="T36" i="1"/>
  <c r="T35" i="1"/>
  <c r="T34" i="1"/>
  <c r="T30" i="1"/>
  <c r="T28" i="1"/>
  <c r="T25" i="1"/>
  <c r="T22" i="1"/>
  <c r="T21" i="1"/>
  <c r="T75" i="1"/>
  <c r="T67" i="1"/>
  <c r="T62" i="1"/>
  <c r="T46" i="1"/>
  <c r="T43" i="1"/>
  <c r="T32" i="1"/>
  <c r="T24" i="1"/>
  <c r="T19" i="1"/>
  <c r="T64" i="1"/>
  <c r="T12" i="1"/>
  <c r="T85" i="1"/>
  <c r="T74" i="1"/>
  <c r="T70" i="1"/>
  <c r="T42" i="1"/>
  <c r="T39" i="1"/>
  <c r="T38" i="1"/>
  <c r="P68" i="1" s="1"/>
  <c r="T52" i="1"/>
  <c r="T49" i="1"/>
  <c r="T20" i="1"/>
  <c r="T72" i="1"/>
  <c r="P70" i="1" s="1"/>
  <c r="T55" i="1"/>
  <c r="T44" i="1"/>
  <c r="T29" i="1"/>
  <c r="B31" i="1"/>
  <c r="B61" i="1" s="1"/>
  <c r="B39" i="1"/>
  <c r="E39" i="1"/>
  <c r="E37" i="1"/>
  <c r="E36" i="1"/>
  <c r="E35" i="1"/>
  <c r="E31" i="1"/>
  <c r="B37" i="1"/>
  <c r="B36" i="1"/>
  <c r="B35" i="1"/>
  <c r="B30" i="1"/>
  <c r="B60" i="1" s="1"/>
  <c r="AC38" i="1"/>
  <c r="E11" i="1"/>
  <c r="F11" i="1" s="1"/>
  <c r="P11" i="1" s="1"/>
  <c r="O7" i="2" s="1"/>
  <c r="E12" i="1"/>
  <c r="F12" i="1" s="1"/>
  <c r="P12" i="1" s="1"/>
  <c r="E13" i="1"/>
  <c r="F13" i="1" s="1"/>
  <c r="E14" i="1"/>
  <c r="F14" i="1" s="1"/>
  <c r="P14" i="1" s="1"/>
  <c r="AC40" i="1"/>
  <c r="AC39" i="1"/>
  <c r="AB106" i="1" l="1"/>
  <c r="AB104" i="1"/>
  <c r="AB103" i="1"/>
  <c r="T78" i="1"/>
  <c r="AB105" i="1"/>
  <c r="B32" i="3"/>
  <c r="X6" i="2"/>
  <c r="B38" i="3"/>
  <c r="X14" i="2"/>
  <c r="O10" i="2"/>
  <c r="N10" i="2"/>
  <c r="M10" i="2"/>
  <c r="O15" i="2"/>
  <c r="M15" i="2"/>
  <c r="N15" i="2"/>
  <c r="N7" i="2"/>
  <c r="M7" i="2"/>
  <c r="P13" i="1"/>
  <c r="D60" i="1"/>
  <c r="B3" i="4"/>
  <c r="D61" i="1"/>
  <c r="B2" i="4"/>
  <c r="C23" i="3"/>
  <c r="C22" i="3"/>
  <c r="C21" i="3"/>
  <c r="E11" i="3"/>
  <c r="E14" i="3"/>
  <c r="C20" i="3"/>
  <c r="C19" i="3"/>
  <c r="B64" i="1"/>
  <c r="B65" i="1"/>
  <c r="C44" i="1"/>
  <c r="E44" i="1" s="1"/>
  <c r="O44" i="1" s="1"/>
  <c r="B62" i="1"/>
  <c r="B63" i="1"/>
  <c r="AB35" i="1"/>
  <c r="AC35" i="1" s="1"/>
  <c r="AB36" i="1"/>
  <c r="AC36" i="1" s="1"/>
  <c r="AB34" i="1"/>
  <c r="AC34" i="1" s="1"/>
  <c r="T15" i="1"/>
  <c r="C55" i="1"/>
  <c r="E55" i="1" s="1"/>
  <c r="C51" i="1"/>
  <c r="E51" i="1" s="1"/>
  <c r="C47" i="1"/>
  <c r="E47" i="1" s="1"/>
  <c r="C43" i="1"/>
  <c r="E43" i="1" s="1"/>
  <c r="C54" i="1"/>
  <c r="E54" i="1" s="1"/>
  <c r="C50" i="1"/>
  <c r="E50" i="1" s="1"/>
  <c r="C46" i="1"/>
  <c r="E46" i="1" s="1"/>
  <c r="C57" i="1"/>
  <c r="C53" i="1"/>
  <c r="E53" i="1" s="1"/>
  <c r="C49" i="1"/>
  <c r="E49" i="1" s="1"/>
  <c r="C45" i="1"/>
  <c r="E45" i="1" s="1"/>
  <c r="C42" i="1"/>
  <c r="E42" i="1" s="1"/>
  <c r="C56" i="1"/>
  <c r="E56" i="1" s="1"/>
  <c r="C52" i="1"/>
  <c r="E52" i="1" s="1"/>
  <c r="C48" i="1"/>
  <c r="E48" i="1" s="1"/>
  <c r="AB107" i="1"/>
  <c r="H2" i="4" l="1"/>
  <c r="K2" i="4" s="1"/>
  <c r="E57" i="1"/>
  <c r="O57" i="1" s="1"/>
  <c r="E92" i="1"/>
  <c r="C93" i="1"/>
  <c r="D91" i="1"/>
  <c r="B93" i="1"/>
  <c r="F7" i="3" s="1"/>
  <c r="B92" i="1"/>
  <c r="D92" i="1"/>
  <c r="D63" i="1"/>
  <c r="G25" i="2"/>
  <c r="J25" i="2"/>
  <c r="F25" i="2"/>
  <c r="I25" i="2"/>
  <c r="H25" i="2"/>
  <c r="O13" i="2"/>
  <c r="N13" i="2"/>
  <c r="M13" i="2"/>
  <c r="E2" i="4"/>
  <c r="E3" i="4" s="1"/>
  <c r="F2" i="4"/>
  <c r="F3" i="4" s="1"/>
  <c r="D2" i="4"/>
  <c r="D3" i="4" s="1"/>
  <c r="H3" i="4"/>
  <c r="K3" i="4" s="1"/>
  <c r="F105" i="1"/>
  <c r="F111" i="1"/>
  <c r="T87" i="1"/>
  <c r="B98" i="3" s="1"/>
  <c r="AU115" i="1" s="1"/>
  <c r="B111" i="1"/>
  <c r="AS116" i="1" s="1"/>
  <c r="P15" i="1"/>
  <c r="H21" i="3"/>
  <c r="O48" i="1"/>
  <c r="O45" i="1"/>
  <c r="O47" i="1"/>
  <c r="O54" i="1"/>
  <c r="O51" i="1"/>
  <c r="O53" i="1"/>
  <c r="O55" i="1"/>
  <c r="O49" i="1"/>
  <c r="O46" i="1"/>
  <c r="O52" i="1"/>
  <c r="O50" i="1"/>
  <c r="O56" i="1"/>
  <c r="O42" i="1"/>
  <c r="O43" i="1"/>
  <c r="D62" i="1"/>
  <c r="B7" i="4"/>
  <c r="D65" i="1"/>
  <c r="B6" i="4"/>
  <c r="D64" i="1"/>
  <c r="B4" i="4"/>
  <c r="B5" i="4"/>
  <c r="H30" i="1"/>
  <c r="G59" i="1" s="1"/>
  <c r="C2" i="4" l="1"/>
  <c r="G2" i="4" s="1"/>
  <c r="J27" i="2"/>
  <c r="F8" i="3"/>
  <c r="F6" i="3"/>
  <c r="Q33" i="2"/>
  <c r="T33" i="2"/>
  <c r="S33" i="2"/>
  <c r="R33" i="2"/>
  <c r="U33" i="2"/>
  <c r="S35" i="2"/>
  <c r="T35" i="2"/>
  <c r="R35" i="2"/>
  <c r="U35" i="2"/>
  <c r="Q35" i="2"/>
  <c r="S23" i="2"/>
  <c r="R23" i="2"/>
  <c r="Q23" i="2"/>
  <c r="T23" i="2"/>
  <c r="U23" i="2"/>
  <c r="J33" i="2"/>
  <c r="F33" i="2"/>
  <c r="I33" i="2"/>
  <c r="H33" i="2"/>
  <c r="G33" i="2"/>
  <c r="U21" i="2"/>
  <c r="T21" i="2"/>
  <c r="S21" i="2"/>
  <c r="R21" i="2"/>
  <c r="Q21" i="2"/>
  <c r="U29" i="2"/>
  <c r="T29" i="2"/>
  <c r="S29" i="2"/>
  <c r="R29" i="2"/>
  <c r="Q29" i="2"/>
  <c r="G21" i="2"/>
  <c r="I21" i="2"/>
  <c r="H21" i="2"/>
  <c r="J21" i="2"/>
  <c r="F21" i="2"/>
  <c r="H35" i="2"/>
  <c r="G35" i="2"/>
  <c r="J35" i="2"/>
  <c r="F35" i="2"/>
  <c r="I35" i="2"/>
  <c r="J23" i="2"/>
  <c r="F23" i="2"/>
  <c r="I23" i="2"/>
  <c r="H23" i="2"/>
  <c r="G23" i="2"/>
  <c r="R25" i="2"/>
  <c r="U25" i="2"/>
  <c r="Q25" i="2"/>
  <c r="T25" i="2"/>
  <c r="S25" i="2"/>
  <c r="U31" i="2"/>
  <c r="T31" i="2"/>
  <c r="S31" i="2"/>
  <c r="R31" i="2"/>
  <c r="Q31" i="2"/>
  <c r="I31" i="2"/>
  <c r="H31" i="2"/>
  <c r="G31" i="2"/>
  <c r="J31" i="2"/>
  <c r="F31" i="2"/>
  <c r="S27" i="2"/>
  <c r="R27" i="2"/>
  <c r="U27" i="2"/>
  <c r="Q27" i="2"/>
  <c r="T27" i="2"/>
  <c r="G29" i="2"/>
  <c r="F29" i="2"/>
  <c r="I29" i="2"/>
  <c r="H29" i="2"/>
  <c r="J29" i="2"/>
  <c r="G27" i="2"/>
  <c r="I27" i="2"/>
  <c r="H27" i="2"/>
  <c r="F27" i="2"/>
  <c r="H26" i="3"/>
  <c r="H20" i="3"/>
  <c r="P24" i="3"/>
  <c r="H5" i="4"/>
  <c r="K5" i="4" s="1"/>
  <c r="P21" i="3"/>
  <c r="H23" i="3"/>
  <c r="H4" i="4"/>
  <c r="K4" i="4" s="1"/>
  <c r="B49" i="3"/>
  <c r="D4" i="4"/>
  <c r="B47" i="3"/>
  <c r="F4" i="4"/>
  <c r="E4" i="4"/>
  <c r="P25" i="3"/>
  <c r="P20" i="3"/>
  <c r="H22" i="3"/>
  <c r="H19" i="3"/>
  <c r="P22" i="3"/>
  <c r="P19" i="3"/>
  <c r="P23" i="3"/>
  <c r="H24" i="3"/>
  <c r="H7" i="4"/>
  <c r="K7" i="4" s="1"/>
  <c r="P26" i="3"/>
  <c r="H25" i="3"/>
  <c r="H6" i="4"/>
  <c r="K6" i="4" s="1"/>
  <c r="D124" i="3"/>
  <c r="F124" i="3"/>
  <c r="V124" i="1"/>
  <c r="V126" i="1"/>
  <c r="V130" i="1"/>
  <c r="V134" i="1"/>
  <c r="V118" i="1"/>
  <c r="V123" i="1"/>
  <c r="V127" i="1"/>
  <c r="V131" i="1"/>
  <c r="V122" i="1"/>
  <c r="V119" i="1"/>
  <c r="V128" i="1"/>
  <c r="V132" i="1"/>
  <c r="V116" i="1"/>
  <c r="V120" i="1"/>
  <c r="V125" i="1"/>
  <c r="V129" i="1"/>
  <c r="V133" i="1"/>
  <c r="V117" i="1"/>
  <c r="V121" i="1"/>
  <c r="T127" i="1"/>
  <c r="T125" i="1"/>
  <c r="T126" i="1"/>
  <c r="V115" i="1"/>
  <c r="G111" i="1"/>
  <c r="B113" i="1"/>
  <c r="G36" i="4"/>
  <c r="H36" i="4" s="1"/>
  <c r="G42" i="4"/>
  <c r="H42" i="4" s="1"/>
  <c r="G46" i="4"/>
  <c r="H46" i="4" s="1"/>
  <c r="G50" i="4"/>
  <c r="H50" i="4" s="1"/>
  <c r="G33" i="4"/>
  <c r="H33" i="4" s="1"/>
  <c r="G37" i="4"/>
  <c r="H37" i="4" s="1"/>
  <c r="G39" i="4"/>
  <c r="H39" i="4" s="1"/>
  <c r="G43" i="4"/>
  <c r="H43" i="4" s="1"/>
  <c r="G47" i="4"/>
  <c r="H47" i="4" s="1"/>
  <c r="G51" i="4"/>
  <c r="H51" i="4" s="1"/>
  <c r="G34" i="4"/>
  <c r="H34" i="4" s="1"/>
  <c r="G31" i="4"/>
  <c r="H31" i="4" s="1"/>
  <c r="G40" i="4"/>
  <c r="H40" i="4" s="1"/>
  <c r="G44" i="4"/>
  <c r="H44" i="4" s="1"/>
  <c r="G48" i="4"/>
  <c r="H48" i="4" s="1"/>
  <c r="G38" i="4"/>
  <c r="H38" i="4" s="1"/>
  <c r="G35" i="4"/>
  <c r="H35" i="4" s="1"/>
  <c r="G41" i="4"/>
  <c r="H41" i="4" s="1"/>
  <c r="G45" i="4"/>
  <c r="H45" i="4" s="1"/>
  <c r="G49" i="4"/>
  <c r="H49" i="4" s="1"/>
  <c r="G32" i="4"/>
  <c r="H32" i="4" s="1"/>
  <c r="B123" i="3"/>
  <c r="F113" i="1"/>
  <c r="H113" i="1"/>
  <c r="F114" i="1"/>
  <c r="H44" i="6" s="1"/>
  <c r="H57" i="6" s="1"/>
  <c r="H114" i="1"/>
  <c r="M44" i="6" s="1"/>
  <c r="B124" i="1"/>
  <c r="K122" i="1"/>
  <c r="E122" i="1"/>
  <c r="G131" i="1"/>
  <c r="B116" i="1"/>
  <c r="G116" i="1"/>
  <c r="H30" i="4"/>
  <c r="R35" i="4" l="1"/>
  <c r="D141" i="3"/>
  <c r="D5" i="4"/>
  <c r="F5" i="4"/>
  <c r="C3" i="4"/>
  <c r="G3" i="4" s="1"/>
  <c r="E5" i="4"/>
  <c r="D123" i="3"/>
  <c r="E123" i="3"/>
  <c r="D125" i="3"/>
  <c r="AS117" i="1" s="1"/>
  <c r="AS132" i="1"/>
  <c r="R124" i="3"/>
  <c r="S124" i="3"/>
  <c r="I45" i="4"/>
  <c r="J45" i="4" s="1"/>
  <c r="I48" i="4"/>
  <c r="J48" i="4" s="1"/>
  <c r="I44" i="4"/>
  <c r="J44" i="4" s="1"/>
  <c r="I50" i="4"/>
  <c r="J50" i="4" s="1"/>
  <c r="I43" i="4"/>
  <c r="J43" i="4" s="1"/>
  <c r="I39" i="4"/>
  <c r="J39" i="4" s="1"/>
  <c r="I41" i="4"/>
  <c r="J41" i="4" s="1"/>
  <c r="I42" i="4"/>
  <c r="J42" i="4" s="1"/>
  <c r="I40" i="4"/>
  <c r="J40" i="4" s="1"/>
  <c r="I49" i="4"/>
  <c r="J49" i="4" s="1"/>
  <c r="I38" i="4"/>
  <c r="J38" i="4" s="1"/>
  <c r="I51" i="4"/>
  <c r="J51" i="4" s="1"/>
  <c r="I47" i="4"/>
  <c r="J47" i="4" s="1"/>
  <c r="I46" i="4"/>
  <c r="J46" i="4" s="1"/>
  <c r="I31" i="4"/>
  <c r="I32" i="4"/>
  <c r="J32" i="4" s="1"/>
  <c r="I35" i="4"/>
  <c r="J35" i="4" s="1"/>
  <c r="I36" i="4"/>
  <c r="J36" i="4" s="1"/>
  <c r="I33" i="4"/>
  <c r="J33" i="4" s="1"/>
  <c r="I34" i="4"/>
  <c r="J34" i="4" s="1"/>
  <c r="I37" i="4"/>
  <c r="J37" i="4" s="1"/>
  <c r="B141" i="3"/>
  <c r="B125" i="3"/>
  <c r="S123" i="3"/>
  <c r="R123" i="3"/>
  <c r="H51" i="6"/>
  <c r="B37" i="4" s="1"/>
  <c r="H54" i="6"/>
  <c r="H53" i="6"/>
  <c r="H47" i="6"/>
  <c r="B33" i="4" s="1"/>
  <c r="H45" i="6"/>
  <c r="B31" i="4" s="1"/>
  <c r="H46" i="6"/>
  <c r="B32" i="4" s="1"/>
  <c r="H55" i="6"/>
  <c r="H52" i="6"/>
  <c r="H56" i="6"/>
  <c r="M55" i="6"/>
  <c r="M57" i="6"/>
  <c r="M56" i="6"/>
  <c r="M45" i="6"/>
  <c r="B41" i="4" s="1"/>
  <c r="M53" i="6"/>
  <c r="M49" i="6"/>
  <c r="B45" i="4" s="1"/>
  <c r="M54" i="6"/>
  <c r="M51" i="6"/>
  <c r="B47" i="4" s="1"/>
  <c r="M50" i="6"/>
  <c r="M46" i="6"/>
  <c r="B42" i="4" s="1"/>
  <c r="B138" i="3" l="1"/>
  <c r="AS130" i="1" s="1"/>
  <c r="Q42" i="4"/>
  <c r="S42" i="4" s="1"/>
  <c r="B136" i="3"/>
  <c r="AS128" i="1" s="1"/>
  <c r="Q41" i="4"/>
  <c r="S41" i="4" s="1"/>
  <c r="B158" i="3"/>
  <c r="B159" i="3" s="1"/>
  <c r="Q51" i="4"/>
  <c r="S51" i="4" s="1"/>
  <c r="B164" i="3"/>
  <c r="AS155" i="1" s="1"/>
  <c r="Q54" i="4"/>
  <c r="S54" i="4" s="1"/>
  <c r="B144" i="3"/>
  <c r="AS135" i="1" s="1"/>
  <c r="Q44" i="4"/>
  <c r="S44" i="4" s="1"/>
  <c r="B162" i="3"/>
  <c r="AS153" i="1" s="1"/>
  <c r="Q53" i="4"/>
  <c r="S53" i="4" s="1"/>
  <c r="B152" i="3"/>
  <c r="AS143" i="1" s="1"/>
  <c r="Q48" i="4"/>
  <c r="S48" i="4" s="1"/>
  <c r="B160" i="3"/>
  <c r="B161" i="3" s="1"/>
  <c r="Q52" i="4"/>
  <c r="S52" i="4" s="1"/>
  <c r="B132" i="3"/>
  <c r="AS124" i="1" s="1"/>
  <c r="Q39" i="4"/>
  <c r="S39" i="4" s="1"/>
  <c r="B128" i="3"/>
  <c r="AS120" i="1" s="1"/>
  <c r="Q37" i="4"/>
  <c r="S37" i="4" s="1"/>
  <c r="B168" i="3"/>
  <c r="AS159" i="1" s="1"/>
  <c r="Q56" i="4"/>
  <c r="S56" i="4" s="1"/>
  <c r="B150" i="3"/>
  <c r="AS141" i="1" s="1"/>
  <c r="Q47" i="4"/>
  <c r="S47" i="4" s="1"/>
  <c r="B166" i="3"/>
  <c r="AS157" i="1" s="1"/>
  <c r="Q55" i="4"/>
  <c r="S55" i="4" s="1"/>
  <c r="B134" i="3"/>
  <c r="AS126" i="1" s="1"/>
  <c r="Q40" i="4"/>
  <c r="S40" i="4" s="1"/>
  <c r="B146" i="3"/>
  <c r="AS137" i="1" s="1"/>
  <c r="Q45" i="4"/>
  <c r="S45" i="4" s="1"/>
  <c r="B156" i="3"/>
  <c r="AS147" i="1" s="1"/>
  <c r="Q50" i="4"/>
  <c r="S50" i="4" s="1"/>
  <c r="B130" i="3"/>
  <c r="AS122" i="1" s="1"/>
  <c r="Q38" i="4"/>
  <c r="S38" i="4" s="1"/>
  <c r="B142" i="3"/>
  <c r="AS133" i="1" s="1"/>
  <c r="Q43" i="4"/>
  <c r="S43" i="4" s="1"/>
  <c r="B148" i="3"/>
  <c r="AS139" i="1" s="1"/>
  <c r="Q46" i="4"/>
  <c r="S46" i="4" s="1"/>
  <c r="B154" i="3"/>
  <c r="AS145" i="1" s="1"/>
  <c r="Q49" i="4"/>
  <c r="S49" i="4" s="1"/>
  <c r="F6" i="4"/>
  <c r="F7" i="4" s="1"/>
  <c r="E6" i="4"/>
  <c r="E7" i="4" s="1"/>
  <c r="D6" i="4"/>
  <c r="C4" i="4"/>
  <c r="C42" i="4"/>
  <c r="C32" i="4"/>
  <c r="C35" i="4"/>
  <c r="B39" i="4"/>
  <c r="C39" i="4" s="1"/>
  <c r="C48" i="4"/>
  <c r="B46" i="4"/>
  <c r="C46" i="4" s="1"/>
  <c r="C41" i="4"/>
  <c r="B49" i="4"/>
  <c r="C49" i="4" s="1"/>
  <c r="B40" i="4"/>
  <c r="C40" i="4" s="1"/>
  <c r="C45" i="4"/>
  <c r="B50" i="4"/>
  <c r="C50" i="4" s="1"/>
  <c r="C31" i="4"/>
  <c r="B38" i="4"/>
  <c r="C38" i="4" s="1"/>
  <c r="C43" i="4"/>
  <c r="C44" i="4"/>
  <c r="C47" i="4"/>
  <c r="C36" i="4"/>
  <c r="C37" i="4"/>
  <c r="C33" i="4"/>
  <c r="C34" i="4"/>
  <c r="J31" i="4"/>
  <c r="B139" i="3" l="1"/>
  <c r="AS131" i="1" s="1"/>
  <c r="B137" i="3"/>
  <c r="R41" i="4" s="1"/>
  <c r="B145" i="3"/>
  <c r="AS136" i="1" s="1"/>
  <c r="B129" i="3"/>
  <c r="AS121" i="1" s="1"/>
  <c r="AS149" i="1"/>
  <c r="AS129" i="1"/>
  <c r="R42" i="4"/>
  <c r="B163" i="3"/>
  <c r="B135" i="3"/>
  <c r="AS152" i="1"/>
  <c r="R52" i="4"/>
  <c r="B153" i="3"/>
  <c r="AS150" i="1"/>
  <c r="R51" i="4"/>
  <c r="B165" i="3"/>
  <c r="B151" i="3"/>
  <c r="B149" i="3"/>
  <c r="B167" i="3"/>
  <c r="B157" i="3"/>
  <c r="B131" i="3"/>
  <c r="B133" i="3"/>
  <c r="B169" i="3"/>
  <c r="B147" i="3"/>
  <c r="B126" i="3"/>
  <c r="B127" i="3" s="1"/>
  <c r="Q36" i="4"/>
  <c r="S36" i="4" s="1"/>
  <c r="B155" i="3"/>
  <c r="B143" i="3"/>
  <c r="AS151" i="1"/>
  <c r="F8" i="4"/>
  <c r="F9" i="4" s="1"/>
  <c r="E8" i="4"/>
  <c r="E9" i="4" s="1"/>
  <c r="D7" i="4"/>
  <c r="D8" i="4" s="1"/>
  <c r="D9" i="4" s="1"/>
  <c r="C5" i="4"/>
  <c r="G5" i="4" s="1"/>
  <c r="G4" i="4"/>
  <c r="D36" i="4"/>
  <c r="E36" i="4" s="1"/>
  <c r="S120" i="1" s="1"/>
  <c r="D43" i="4"/>
  <c r="E43" i="4" s="1"/>
  <c r="T117" i="1" s="1"/>
  <c r="D41" i="4"/>
  <c r="E41" i="4" s="1"/>
  <c r="T115" i="1" s="1"/>
  <c r="D34" i="4"/>
  <c r="E34" i="4" s="1"/>
  <c r="S118" i="1" s="1"/>
  <c r="D47" i="4"/>
  <c r="E47" i="4" s="1"/>
  <c r="T121" i="1" s="1"/>
  <c r="D42" i="4"/>
  <c r="E42" i="4" s="1"/>
  <c r="T116" i="1" s="1"/>
  <c r="D48" i="4"/>
  <c r="E48" i="4" s="1"/>
  <c r="T122" i="1" s="1"/>
  <c r="D49" i="4"/>
  <c r="E49" i="4" s="1"/>
  <c r="T123" i="1" s="1"/>
  <c r="D44" i="4"/>
  <c r="E44" i="4" s="1"/>
  <c r="T118" i="1" s="1"/>
  <c r="D50" i="4"/>
  <c r="E50" i="4" s="1"/>
  <c r="T124" i="1" s="1"/>
  <c r="D46" i="4"/>
  <c r="E46" i="4" s="1"/>
  <c r="T120" i="1" s="1"/>
  <c r="D45" i="4"/>
  <c r="E45" i="4" s="1"/>
  <c r="T119" i="1" s="1"/>
  <c r="D33" i="4"/>
  <c r="E33" i="4" s="1"/>
  <c r="S117" i="1" s="1"/>
  <c r="D38" i="4"/>
  <c r="E38" i="4" s="1"/>
  <c r="D39" i="4"/>
  <c r="E39" i="4" s="1"/>
  <c r="D35" i="4"/>
  <c r="E35" i="4" s="1"/>
  <c r="S119" i="1" s="1"/>
  <c r="D40" i="4"/>
  <c r="E40" i="4" s="1"/>
  <c r="D32" i="4"/>
  <c r="E32" i="4" s="1"/>
  <c r="S116" i="1" s="1"/>
  <c r="D31" i="4"/>
  <c r="E31" i="4" s="1"/>
  <c r="S115" i="1" s="1"/>
  <c r="D37" i="4"/>
  <c r="E37" i="4" s="1"/>
  <c r="S121" i="1" s="1"/>
  <c r="R37" i="4" l="1"/>
  <c r="R44" i="4"/>
  <c r="AS134" i="1"/>
  <c r="R43" i="4"/>
  <c r="AS138" i="1"/>
  <c r="R45" i="4"/>
  <c r="AS148" i="1"/>
  <c r="R50" i="4"/>
  <c r="AS156" i="1"/>
  <c r="R54" i="4"/>
  <c r="AS146" i="1"/>
  <c r="R49" i="4"/>
  <c r="AS160" i="1"/>
  <c r="R56" i="4"/>
  <c r="AS158" i="1"/>
  <c r="R55" i="4"/>
  <c r="AS125" i="1"/>
  <c r="R39" i="4"/>
  <c r="AS140" i="1"/>
  <c r="R46" i="4"/>
  <c r="AS127" i="1"/>
  <c r="R40" i="4"/>
  <c r="AS119" i="1"/>
  <c r="R36" i="4"/>
  <c r="AS123" i="1"/>
  <c r="R38" i="4"/>
  <c r="AS142" i="1"/>
  <c r="R47" i="4"/>
  <c r="AS144" i="1"/>
  <c r="R48" i="4"/>
  <c r="AS154" i="1"/>
  <c r="R53" i="4"/>
  <c r="AS118" i="1"/>
  <c r="E10" i="4"/>
  <c r="E11" i="4" s="1"/>
  <c r="E12" i="4" s="1"/>
  <c r="E13" i="4" s="1"/>
  <c r="E14" i="4" s="1"/>
  <c r="E15" i="4" s="1"/>
  <c r="E16" i="4" s="1"/>
  <c r="E17" i="4" s="1"/>
  <c r="E18" i="4" s="1"/>
  <c r="E19" i="4" s="1"/>
  <c r="E20" i="4" s="1"/>
  <c r="E21" i="4" s="1"/>
  <c r="E22" i="4" s="1"/>
  <c r="E23" i="4" s="1"/>
  <c r="F10" i="4"/>
  <c r="F11" i="4" s="1"/>
  <c r="F12" i="4" s="1"/>
  <c r="F13" i="4" s="1"/>
  <c r="F14" i="4" s="1"/>
  <c r="F15" i="4" s="1"/>
  <c r="F16" i="4" s="1"/>
  <c r="F17" i="4" s="1"/>
  <c r="F18" i="4" s="1"/>
  <c r="F19" i="4" s="1"/>
  <c r="F20" i="4" s="1"/>
  <c r="F21" i="4" s="1"/>
  <c r="F22" i="4" s="1"/>
  <c r="F23" i="4" s="1"/>
  <c r="D10" i="4"/>
  <c r="C6" i="4"/>
  <c r="F24" i="4" l="1"/>
  <c r="B25" i="4" s="1"/>
  <c r="K25" i="4" s="1"/>
  <c r="D11" i="4"/>
  <c r="D12" i="4" s="1"/>
  <c r="C7" i="4"/>
  <c r="E24" i="4"/>
  <c r="B24" i="4" s="1"/>
  <c r="K24" i="4" s="1"/>
  <c r="G6" i="4"/>
  <c r="G7" i="4" l="1"/>
  <c r="D13" i="4"/>
  <c r="D14" i="4" s="1"/>
  <c r="D15" i="4" s="1"/>
  <c r="D16" i="4" s="1"/>
  <c r="D17" i="4" s="1"/>
  <c r="D18" i="4" s="1"/>
  <c r="D19" i="4" s="1"/>
  <c r="D20" i="4" s="1"/>
  <c r="D21" i="4" s="1"/>
  <c r="D22" i="4" s="1"/>
  <c r="D23" i="4" s="1"/>
  <c r="D24" i="4" s="1"/>
  <c r="C8" i="4"/>
  <c r="G8" i="4" s="1"/>
  <c r="B26" i="4" l="1"/>
  <c r="K26" i="4" s="1"/>
  <c r="C9" i="4"/>
  <c r="G9" i="4" s="1"/>
  <c r="C10" i="4" l="1"/>
  <c r="C11" i="4" s="1"/>
  <c r="G11" i="4" s="1"/>
  <c r="G10" i="4" l="1"/>
  <c r="C12" i="4"/>
  <c r="G12" i="4" s="1"/>
  <c r="C13" i="4" l="1"/>
  <c r="G13" i="4" s="1"/>
  <c r="C14" i="4" l="1"/>
  <c r="G14" i="4" s="1"/>
  <c r="C15" i="4" l="1"/>
  <c r="G15" i="4" s="1"/>
  <c r="C16" i="4" l="1"/>
  <c r="G16" i="4" s="1"/>
  <c r="C17" i="4" l="1"/>
  <c r="C18" i="4" l="1"/>
  <c r="G17" i="4"/>
  <c r="G18" i="4" l="1"/>
  <c r="C19" i="4"/>
  <c r="C20" i="4" l="1"/>
  <c r="G20" i="4" s="1"/>
  <c r="G19" i="4"/>
  <c r="C21" i="4" l="1"/>
  <c r="G21" i="4" s="1"/>
  <c r="C22" i="4" l="1"/>
  <c r="G22" i="4" s="1"/>
  <c r="C23" i="4" l="1"/>
  <c r="G23" i="4" s="1"/>
  <c r="C24" i="4" l="1"/>
  <c r="B27" i="4" l="1"/>
  <c r="K27" i="4" s="1"/>
  <c r="G24" i="4"/>
  <c r="L15" i="4" l="1"/>
  <c r="M15" i="4" s="1"/>
  <c r="Q15" i="4" s="1"/>
  <c r="S15" i="4" s="1"/>
  <c r="L13" i="4"/>
  <c r="M13" i="4" s="1"/>
  <c r="Q13" i="4" s="1"/>
  <c r="S13" i="4" s="1"/>
  <c r="L12" i="4"/>
  <c r="M12" i="4" s="1"/>
  <c r="Q12" i="4" s="1"/>
  <c r="S12" i="4" s="1"/>
  <c r="L27" i="4"/>
  <c r="M27" i="4" s="1"/>
  <c r="Q27" i="4" s="1"/>
  <c r="S27" i="4" s="1"/>
  <c r="L26" i="4"/>
  <c r="M26" i="4" s="1"/>
  <c r="Q26" i="4" s="1"/>
  <c r="S26" i="4" s="1"/>
  <c r="L2" i="4"/>
  <c r="M2" i="4" s="1"/>
  <c r="Q2" i="4" s="1"/>
  <c r="S2" i="4" s="1"/>
  <c r="L17" i="4"/>
  <c r="M17" i="4" s="1"/>
  <c r="Q17" i="4" s="1"/>
  <c r="S17" i="4" s="1"/>
  <c r="L9" i="4"/>
  <c r="M9" i="4" s="1"/>
  <c r="L11" i="4"/>
  <c r="M11" i="4" s="1"/>
  <c r="Q11" i="4" s="1"/>
  <c r="S11" i="4" s="1"/>
  <c r="L23" i="4"/>
  <c r="M23" i="4" s="1"/>
  <c r="Q23" i="4" s="1"/>
  <c r="S23" i="4" s="1"/>
  <c r="L22" i="4"/>
  <c r="M22" i="4" s="1"/>
  <c r="Q22" i="4" s="1"/>
  <c r="S22" i="4" s="1"/>
  <c r="L7" i="4"/>
  <c r="M7" i="4" s="1"/>
  <c r="Q7" i="4" s="1"/>
  <c r="S7" i="4" s="1"/>
  <c r="L8" i="4"/>
  <c r="M8" i="4" s="1"/>
  <c r="Q8" i="4" s="1"/>
  <c r="S8" i="4" s="1"/>
  <c r="L21" i="4"/>
  <c r="M21" i="4" s="1"/>
  <c r="Q21" i="4" s="1"/>
  <c r="S21" i="4" s="1"/>
  <c r="L19" i="4"/>
  <c r="M19" i="4" s="1"/>
  <c r="Q19" i="4" s="1"/>
  <c r="S19" i="4" s="1"/>
  <c r="L6" i="4"/>
  <c r="M6" i="4" s="1"/>
  <c r="Q6" i="4" s="1"/>
  <c r="S6" i="4" s="1"/>
  <c r="L14" i="4"/>
  <c r="M14" i="4" s="1"/>
  <c r="Q14" i="4" s="1"/>
  <c r="S14" i="4" s="1"/>
  <c r="L4" i="4"/>
  <c r="M4" i="4" s="1"/>
  <c r="Q4" i="4" s="1"/>
  <c r="S4" i="4" s="1"/>
  <c r="L16" i="4"/>
  <c r="M16" i="4" s="1"/>
  <c r="Q16" i="4" s="1"/>
  <c r="S16" i="4" s="1"/>
  <c r="L25" i="4"/>
  <c r="M25" i="4" s="1"/>
  <c r="Q25" i="4" s="1"/>
  <c r="S25" i="4" s="1"/>
  <c r="L18" i="4"/>
  <c r="M18" i="4" s="1"/>
  <c r="Q18" i="4" s="1"/>
  <c r="S18" i="4" s="1"/>
  <c r="L20" i="4"/>
  <c r="M20" i="4" s="1"/>
  <c r="Q20" i="4" s="1"/>
  <c r="S20" i="4" s="1"/>
  <c r="L5" i="4"/>
  <c r="M5" i="4" s="1"/>
  <c r="Q5" i="4" s="1"/>
  <c r="S5" i="4" s="1"/>
  <c r="L24" i="4"/>
  <c r="M24" i="4" s="1"/>
  <c r="Q24" i="4" s="1"/>
  <c r="S24" i="4" s="1"/>
  <c r="L3" i="4"/>
  <c r="M3" i="4" s="1"/>
  <c r="Q3" i="4" s="1"/>
  <c r="S3" i="4" s="1"/>
  <c r="L10" i="4"/>
  <c r="M10" i="4" s="1"/>
  <c r="Q10" i="4" s="1"/>
  <c r="S10" i="4" s="1"/>
  <c r="Q9" i="4" l="1"/>
  <c r="S9" i="4" s="1"/>
  <c r="B76" i="3"/>
  <c r="B77" i="3" s="1"/>
  <c r="T9" i="4"/>
  <c r="T41" i="4"/>
  <c r="T49" i="4"/>
  <c r="T6" i="4"/>
  <c r="T10" i="4"/>
  <c r="T3" i="4"/>
  <c r="T7" i="4"/>
  <c r="T4" i="4"/>
  <c r="T8" i="4"/>
  <c r="T12" i="4"/>
  <c r="T16" i="4"/>
  <c r="T20" i="4"/>
  <c r="T24" i="4"/>
  <c r="T28" i="4"/>
  <c r="T32" i="4"/>
  <c r="T36" i="4"/>
  <c r="T40" i="4"/>
  <c r="T44" i="4"/>
  <c r="T48" i="4"/>
  <c r="T52" i="4"/>
  <c r="T56" i="4"/>
  <c r="T5" i="4"/>
  <c r="T13" i="4"/>
  <c r="T17" i="4"/>
  <c r="T21" i="4"/>
  <c r="T25" i="4"/>
  <c r="T29" i="4"/>
  <c r="T33" i="4"/>
  <c r="T37" i="4"/>
  <c r="T45" i="4"/>
  <c r="T53" i="4"/>
  <c r="T2" i="4"/>
  <c r="T18" i="4"/>
  <c r="T26" i="4"/>
  <c r="T34" i="4"/>
  <c r="T42" i="4"/>
  <c r="T50" i="4"/>
  <c r="T11" i="4"/>
  <c r="T19" i="4"/>
  <c r="T27" i="4"/>
  <c r="T35" i="4"/>
  <c r="T43" i="4"/>
  <c r="T51" i="4"/>
  <c r="T14" i="4"/>
  <c r="T22" i="4"/>
  <c r="T30" i="4"/>
  <c r="T38" i="4"/>
  <c r="T46" i="4"/>
  <c r="T54" i="4"/>
  <c r="T15" i="4"/>
  <c r="T23" i="4"/>
  <c r="T31" i="4"/>
  <c r="T39" i="4"/>
  <c r="T47" i="4"/>
  <c r="T55" i="4"/>
  <c r="B53" i="3"/>
  <c r="B54" i="3" s="1"/>
  <c r="AS67" i="1" s="1"/>
  <c r="X43" i="2"/>
  <c r="B79" i="3"/>
  <c r="B80" i="3" s="1"/>
  <c r="X33" i="2"/>
  <c r="B65" i="3"/>
  <c r="B66" i="3" s="1"/>
  <c r="X36" i="2"/>
  <c r="B68" i="3"/>
  <c r="B69" i="3" s="1"/>
  <c r="X41" i="2"/>
  <c r="X30" i="2"/>
  <c r="B62" i="3"/>
  <c r="B63" i="3" s="1"/>
  <c r="X45" i="2"/>
  <c r="B85" i="3"/>
  <c r="B86" i="3" s="1"/>
  <c r="X27" i="2"/>
  <c r="B59" i="3"/>
  <c r="B60" i="3" s="1"/>
  <c r="X21" i="2"/>
  <c r="X46" i="2"/>
  <c r="B88" i="3"/>
  <c r="B89" i="3" s="1"/>
  <c r="X24" i="2"/>
  <c r="B56" i="3"/>
  <c r="B57" i="3" s="1"/>
  <c r="X47" i="2"/>
  <c r="B91" i="3"/>
  <c r="B92" i="3" s="1"/>
  <c r="X39" i="2"/>
  <c r="B71" i="3"/>
  <c r="B72" i="3" s="1"/>
  <c r="X44" i="2"/>
  <c r="B82" i="3"/>
  <c r="B83" i="3" s="1"/>
  <c r="X49" i="2"/>
  <c r="B94" i="3"/>
  <c r="B95" i="3" s="1"/>
  <c r="U31" i="4" l="1"/>
  <c r="B91" i="2" s="1"/>
  <c r="V31" i="4"/>
  <c r="C91" i="2" s="1"/>
  <c r="U46" i="4"/>
  <c r="V46" i="4"/>
  <c r="U14" i="4"/>
  <c r="B74" i="2" s="1"/>
  <c r="V14" i="4"/>
  <c r="C74" i="2" s="1"/>
  <c r="U27" i="4"/>
  <c r="B87" i="2" s="1"/>
  <c r="V27" i="4"/>
  <c r="C87" i="2" s="1"/>
  <c r="U42" i="4"/>
  <c r="V42" i="4"/>
  <c r="U2" i="4"/>
  <c r="B62" i="2" s="1"/>
  <c r="U33" i="4"/>
  <c r="B93" i="2" s="1"/>
  <c r="V33" i="4"/>
  <c r="C93" i="2" s="1"/>
  <c r="U17" i="4"/>
  <c r="B77" i="2" s="1"/>
  <c r="V17" i="4"/>
  <c r="C77" i="2" s="1"/>
  <c r="U52" i="4"/>
  <c r="V52" i="4"/>
  <c r="U36" i="4"/>
  <c r="B96" i="2" s="1"/>
  <c r="V36" i="4"/>
  <c r="C96" i="2" s="1"/>
  <c r="U20" i="4"/>
  <c r="B80" i="2" s="1"/>
  <c r="V20" i="4"/>
  <c r="C80" i="2" s="1"/>
  <c r="U4" i="4"/>
  <c r="B64" i="2" s="1"/>
  <c r="U6" i="4"/>
  <c r="B66" i="2" s="1"/>
  <c r="U55" i="4"/>
  <c r="V55" i="4"/>
  <c r="U23" i="4"/>
  <c r="B83" i="2" s="1"/>
  <c r="V23" i="4"/>
  <c r="C83" i="2" s="1"/>
  <c r="U38" i="4"/>
  <c r="B98" i="2" s="1"/>
  <c r="V38" i="4"/>
  <c r="C98" i="2" s="1"/>
  <c r="U51" i="4"/>
  <c r="V51" i="4"/>
  <c r="U19" i="4"/>
  <c r="B79" i="2" s="1"/>
  <c r="V19" i="4"/>
  <c r="C79" i="2" s="1"/>
  <c r="U34" i="4"/>
  <c r="B94" i="2" s="1"/>
  <c r="V34" i="4"/>
  <c r="C94" i="2" s="1"/>
  <c r="U53" i="4"/>
  <c r="V53" i="4"/>
  <c r="U29" i="4"/>
  <c r="B89" i="2" s="1"/>
  <c r="V29" i="4"/>
  <c r="C89" i="2" s="1"/>
  <c r="U13" i="4"/>
  <c r="B73" i="2" s="1"/>
  <c r="U48" i="4"/>
  <c r="V48" i="4"/>
  <c r="U32" i="4"/>
  <c r="B92" i="2" s="1"/>
  <c r="V32" i="4"/>
  <c r="C92" i="2" s="1"/>
  <c r="U16" i="4"/>
  <c r="B76" i="2" s="1"/>
  <c r="V16" i="4"/>
  <c r="C76" i="2" s="1"/>
  <c r="U7" i="4"/>
  <c r="B67" i="2" s="1"/>
  <c r="U49" i="4"/>
  <c r="V49" i="4"/>
  <c r="U47" i="4"/>
  <c r="V47" i="4"/>
  <c r="U15" i="4"/>
  <c r="B75" i="2" s="1"/>
  <c r="V15" i="4"/>
  <c r="C75" i="2" s="1"/>
  <c r="U30" i="4"/>
  <c r="B90" i="2" s="1"/>
  <c r="V30" i="4"/>
  <c r="C90" i="2" s="1"/>
  <c r="U43" i="4"/>
  <c r="V43" i="4"/>
  <c r="U11" i="4"/>
  <c r="B71" i="2" s="1"/>
  <c r="U26" i="4"/>
  <c r="B86" i="2" s="1"/>
  <c r="V26" i="4"/>
  <c r="C86" i="2" s="1"/>
  <c r="U45" i="4"/>
  <c r="V45" i="4"/>
  <c r="U25" i="4"/>
  <c r="B85" i="2" s="1"/>
  <c r="V25" i="4"/>
  <c r="C85" i="2" s="1"/>
  <c r="U5" i="4"/>
  <c r="B65" i="2" s="1"/>
  <c r="U44" i="4"/>
  <c r="V44" i="4"/>
  <c r="U28" i="4"/>
  <c r="B88" i="2" s="1"/>
  <c r="V28" i="4"/>
  <c r="C88" i="2" s="1"/>
  <c r="U12" i="4"/>
  <c r="B72" i="2" s="1"/>
  <c r="U3" i="4"/>
  <c r="B63" i="2" s="1"/>
  <c r="U41" i="4"/>
  <c r="V41" i="4"/>
  <c r="U39" i="4"/>
  <c r="V39" i="4"/>
  <c r="U54" i="4"/>
  <c r="V54" i="4"/>
  <c r="U22" i="4"/>
  <c r="B82" i="2" s="1"/>
  <c r="V22" i="4"/>
  <c r="C82" i="2" s="1"/>
  <c r="U35" i="4"/>
  <c r="B95" i="2" s="1"/>
  <c r="V35" i="4"/>
  <c r="C95" i="2" s="1"/>
  <c r="U50" i="4"/>
  <c r="V50" i="4"/>
  <c r="U18" i="4"/>
  <c r="B78" i="2" s="1"/>
  <c r="V18" i="4"/>
  <c r="C78" i="2" s="1"/>
  <c r="U37" i="4"/>
  <c r="B97" i="2" s="1"/>
  <c r="V37" i="4"/>
  <c r="C97" i="2" s="1"/>
  <c r="U21" i="4"/>
  <c r="B81" i="2" s="1"/>
  <c r="V21" i="4"/>
  <c r="C81" i="2" s="1"/>
  <c r="U56" i="4"/>
  <c r="V56" i="4"/>
  <c r="U40" i="4"/>
  <c r="V40" i="4"/>
  <c r="U24" i="4"/>
  <c r="B84" i="2" s="1"/>
  <c r="V24" i="4"/>
  <c r="C84" i="2" s="1"/>
  <c r="U8" i="4"/>
  <c r="B68" i="2" s="1"/>
  <c r="U10" i="4"/>
  <c r="B70" i="2" s="1"/>
  <c r="U9" i="4"/>
  <c r="B69" i="2" s="1"/>
  <c r="AS108" i="1"/>
  <c r="AS101" i="1"/>
  <c r="AU73" i="1"/>
  <c r="AU80" i="1"/>
  <c r="AU101" i="1"/>
  <c r="AU94" i="1"/>
  <c r="AU108" i="1"/>
  <c r="AU87" i="1"/>
  <c r="AU66" i="1"/>
  <c r="AS87" i="1"/>
  <c r="AS94" i="1"/>
  <c r="AS80" i="1"/>
  <c r="AS73" i="1"/>
  <c r="AS66" i="1"/>
  <c r="R2" i="4" l="1"/>
  <c r="V2" i="4" s="1"/>
  <c r="C62" i="2" s="1"/>
  <c r="AS88" i="1"/>
  <c r="R5" i="4"/>
  <c r="V5" i="4" s="1"/>
  <c r="C65" i="2" s="1"/>
  <c r="AU95" i="1"/>
  <c r="R13" i="4"/>
  <c r="V13" i="4" s="1"/>
  <c r="C73" i="2" s="1"/>
  <c r="AU67" i="1"/>
  <c r="R9" i="4"/>
  <c r="V9" i="4" s="1"/>
  <c r="C69" i="2" s="1"/>
  <c r="AU109" i="1"/>
  <c r="R15" i="4"/>
  <c r="AU102" i="1"/>
  <c r="R14" i="4"/>
  <c r="AS109" i="1"/>
  <c r="R8" i="4"/>
  <c r="V8" i="4" s="1"/>
  <c r="C68" i="2" s="1"/>
  <c r="AS95" i="1"/>
  <c r="R6" i="4"/>
  <c r="V6" i="4" s="1"/>
  <c r="C66" i="2" s="1"/>
  <c r="AU74" i="1"/>
  <c r="R10" i="4"/>
  <c r="V10" i="4" s="1"/>
  <c r="C70" i="2" s="1"/>
  <c r="AS74" i="1"/>
  <c r="R3" i="4"/>
  <c r="V3" i="4" s="1"/>
  <c r="C63" i="2" s="1"/>
  <c r="AS81" i="1"/>
  <c r="R4" i="4"/>
  <c r="V4" i="4" s="1"/>
  <c r="C64" i="2" s="1"/>
  <c r="AU88" i="1"/>
  <c r="R12" i="4"/>
  <c r="V12" i="4" s="1"/>
  <c r="C72" i="2" s="1"/>
  <c r="AU81" i="1"/>
  <c r="R11" i="4"/>
  <c r="V11" i="4" s="1"/>
  <c r="C71" i="2" s="1"/>
  <c r="AS102" i="1"/>
  <c r="R7" i="4"/>
  <c r="V7" i="4" s="1"/>
  <c r="C67" i="2" s="1"/>
</calcChain>
</file>

<file path=xl/sharedStrings.xml><?xml version="1.0" encoding="utf-8"?>
<sst xmlns="http://schemas.openxmlformats.org/spreadsheetml/2006/main" count="2257" uniqueCount="1032">
  <si>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</si>
  <si>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</si>
  <si>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</si>
  <si>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</si>
  <si>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</si>
  <si>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</si>
  <si>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</si>
  <si>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</si>
  <si>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</si>
  <si>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</si>
  <si>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</si>
  <si>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</si>
  <si>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</si>
  <si>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</si>
  <si>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</si>
  <si>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</si>
  <si>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</si>
  <si>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</si>
  <si>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</si>
  <si>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</si>
  <si>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</si>
  <si>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</si>
  <si>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</si>
  <si>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</si>
  <si>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</si>
  <si>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</si>
  <si>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</si>
  <si>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</si>
  <si>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</si>
  <si>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</si>
  <si>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</si>
  <si>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</si>
  <si>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</si>
  <si>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</si>
  <si>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</si>
  <si>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</si>
  <si>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</si>
  <si>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</si>
  <si>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</si>
  <si>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</si>
  <si>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</si>
  <si>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</si>
  <si>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</si>
  <si>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</si>
  <si>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</si>
  <si>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</si>
  <si>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</si>
  <si>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</si>
  <si>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</si>
  <si>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</si>
  <si>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</si>
  <si>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</si>
  <si>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</si>
  <si>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</si>
  <si>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</si>
  <si>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</si>
  <si>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</si>
  <si>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</si>
  <si>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</si>
  <si>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</si>
  <si>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</si>
  <si>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</si>
  <si>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</si>
  <si>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</si>
  <si>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</si>
  <si>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</si>
  <si>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</si>
  <si>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</si>
  <si>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</si>
  <si>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</si>
  <si>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</si>
  <si>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</si>
  <si>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</si>
  <si>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</si>
  <si>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</si>
  <si>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</si>
  <si>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</si>
  <si>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</si>
  <si>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</si>
  <si>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</si>
  <si>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</si>
  <si>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</si>
  <si>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</si>
  <si>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</si>
  <si>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</si>
  <si>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</si>
  <si>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</si>
  <si>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</si>
  <si>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</si>
  <si>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</si>
  <si>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</si>
  <si>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</si>
  <si>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</si>
  <si>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</si>
  <si>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</si>
  <si>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</si>
  <si>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</si>
  <si>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</si>
  <si>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</si>
  <si>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</si>
  <si>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</si>
  <si>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</si>
  <si>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</si>
  <si>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</si>
  <si>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</si>
  <si>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</si>
  <si>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</si>
  <si>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</si>
  <si>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</si>
  <si>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</si>
  <si>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</si>
  <si>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</si>
  <si>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</si>
  <si>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</si>
  <si>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</si>
  <si>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</si>
  <si>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</si>
  <si>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</si>
  <si>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</si>
  <si>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</si>
  <si>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</si>
  <si>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</si>
  <si>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</si>
  <si>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</si>
  <si>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</si>
  <si>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</si>
  <si>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</si>
  <si>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</si>
  <si>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</si>
  <si>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</si>
  <si>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</si>
  <si>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</si>
  <si>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</si>
  <si>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</si>
  <si>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</si>
  <si>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</si>
  <si>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</si>
  <si>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</si>
  <si>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</si>
  <si>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</si>
  <si>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</si>
  <si>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</si>
  <si>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</si>
  <si>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</si>
  <si>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</si>
  <si>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</si>
  <si>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</si>
  <si>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</si>
  <si>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</si>
  <si>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</si>
  <si>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</si>
  <si>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</si>
  <si>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</si>
  <si>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</si>
  <si>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</si>
  <si>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</si>
  <si>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</si>
  <si>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</si>
  <si>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</si>
  <si>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</si>
  <si>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</si>
  <si>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</si>
  <si>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</si>
  <si>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</si>
  <si>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</si>
  <si>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</si>
  <si>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</si>
  <si>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</si>
  <si>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</si>
  <si>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</si>
  <si>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</si>
  <si>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</si>
  <si>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</si>
  <si>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</si>
  <si>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</si>
  <si>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</si>
  <si>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</si>
  <si>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</si>
  <si>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</si>
  <si>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</si>
  <si>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</si>
  <si>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</si>
  <si>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</si>
  <si>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</si>
  <si>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</si>
  <si>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</si>
  <si>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</si>
  <si>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</si>
  <si>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</si>
  <si>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</si>
  <si>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</si>
  <si>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</si>
  <si>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</si>
  <si>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</si>
  <si>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</si>
  <si>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</si>
  <si>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</si>
  <si>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</si>
  <si>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</si>
  <si>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</si>
  <si>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</si>
  <si>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</si>
  <si>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</si>
  <si>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</si>
  <si>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</si>
  <si>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</si>
  <si>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</si>
  <si>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</si>
  <si>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</si>
  <si>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</si>
  <si>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</si>
  <si>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</si>
  <si>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</si>
  <si>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</si>
  <si>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</si>
  <si>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</si>
  <si>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</si>
  <si>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</si>
  <si>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</si>
  <si>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</si>
  <si>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</si>
  <si>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</si>
  <si>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</si>
  <si>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</si>
  <si>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</si>
  <si>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</si>
  <si>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</si>
  <si>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</si>
  <si>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</si>
  <si>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</si>
  <si>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</si>
  <si>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</si>
  <si>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</si>
  <si>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</si>
  <si>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</si>
  <si>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</si>
  <si>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</si>
  <si>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</si>
  <si>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</si>
  <si>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</si>
  <si>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</si>
  <si>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</si>
  <si>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</si>
  <si>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</si>
  <si>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</si>
  <si>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</si>
  <si>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</si>
  <si>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</si>
  <si>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</si>
  <si>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</si>
  <si>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</si>
  <si>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</si>
  <si>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</si>
  <si>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</si>
  <si>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</si>
  <si>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</si>
  <si>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</si>
  <si>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</si>
  <si>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</si>
  <si>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</si>
  <si>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</si>
  <si>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</si>
  <si>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</si>
  <si>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</si>
  <si>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</si>
  <si>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</si>
  <si>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</si>
  <si>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</si>
  <si>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</si>
  <si>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</si>
  <si>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</si>
  <si>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</si>
  <si>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</si>
  <si>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</si>
  <si>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</si>
  <si>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</si>
  <si>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</si>
  <si>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</si>
  <si>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</si>
  <si>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</si>
  <si>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</si>
  <si>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</si>
  <si>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</si>
  <si>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</si>
  <si>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</si>
  <si>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</si>
  <si>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</si>
  <si>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</si>
  <si>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</si>
  <si>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</si>
  <si>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</si>
  <si>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</si>
  <si>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</si>
  <si>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</si>
  <si>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</si>
  <si>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</si>
  <si>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</si>
  <si>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</si>
  <si>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</si>
  <si>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</si>
  <si>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</si>
  <si>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</si>
  <si>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</si>
  <si>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</si>
  <si>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</si>
  <si>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</si>
  <si>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</si>
  <si>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</si>
  <si>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</si>
  <si>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</si>
  <si>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</si>
  <si>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</si>
  <si>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</si>
  <si>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</si>
  <si>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</si>
  <si>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</si>
  <si>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</si>
  <si>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</si>
  <si>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</si>
  <si>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</si>
  <si>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</si>
  <si>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</si>
  <si>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</si>
  <si>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</si>
  <si>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</si>
  <si>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</si>
  <si>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</si>
  <si>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</si>
  <si>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</si>
  <si>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</si>
  <si>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</si>
  <si>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</si>
  <si>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</si>
  <si>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</si>
  <si>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</si>
  <si>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</si>
  <si>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</si>
  <si>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</si>
  <si>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</si>
  <si>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</si>
  <si>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</si>
  <si>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</si>
  <si>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</si>
  <si>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</si>
  <si>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</si>
  <si>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</si>
  <si>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</si>
  <si>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</si>
  <si>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</si>
  <si>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</si>
  <si>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</si>
  <si>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</si>
  <si>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</si>
  <si>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</si>
  <si>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</si>
  <si>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</si>
  <si>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</si>
  <si>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</si>
  <si>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</si>
  <si>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</si>
  <si>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</si>
  <si>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</si>
  <si>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</si>
  <si>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</si>
  <si>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</si>
  <si>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</si>
  <si>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</si>
  <si>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</si>
  <si>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</si>
  <si>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</si>
  <si>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</si>
  <si>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</si>
  <si>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</si>
  <si>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</si>
  <si>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</si>
  <si>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</si>
  <si>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</si>
  <si>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</si>
  <si>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</si>
  <si>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</si>
  <si>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</si>
  <si>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</si>
  <si>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</si>
  <si>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</si>
  <si>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</si>
  <si>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</si>
  <si>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</si>
  <si>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</si>
  <si>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</si>
  <si>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</si>
  <si>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</si>
  <si>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</si>
  <si>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</si>
  <si>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</si>
  <si>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</si>
  <si>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</si>
  <si>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</si>
  <si>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</si>
  <si>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</si>
  <si>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</si>
  <si>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</si>
  <si>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</si>
  <si>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</si>
  <si>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</si>
  <si>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</si>
  <si>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</si>
  <si>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</si>
  <si>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</si>
  <si>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</si>
  <si>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</si>
  <si>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</si>
  <si>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</si>
  <si>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</si>
  <si>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</si>
  <si>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</si>
  <si>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</si>
  <si>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</si>
  <si>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</si>
  <si>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</si>
  <si>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</si>
  <si>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</si>
  <si>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</si>
  <si>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</si>
  <si>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</si>
  <si>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</si>
  <si>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</si>
  <si>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</si>
  <si>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</si>
  <si>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</si>
  <si>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</si>
  <si>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</si>
  <si>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</si>
  <si>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</si>
  <si>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</si>
  <si>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</si>
  <si>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</si>
  <si>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</si>
  <si>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</si>
  <si>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</si>
  <si>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</si>
  <si>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</si>
  <si>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</si>
  <si>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</si>
  <si>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</si>
  <si>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</si>
  <si>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</si>
  <si>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</si>
  <si>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</si>
  <si>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</si>
  <si>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</si>
  <si>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</si>
  <si>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</si>
  <si>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</si>
  <si>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</si>
  <si>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</si>
  <si>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</si>
  <si>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</si>
  <si>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</si>
  <si>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</si>
  <si>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</si>
  <si>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</si>
  <si>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</si>
  <si>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</si>
  <si>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</si>
  <si>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</si>
  <si>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</si>
  <si>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</si>
  <si>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</si>
  <si>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</si>
  <si>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</si>
  <si>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</si>
  <si>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</si>
  <si>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</si>
  <si>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</si>
  <si>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</si>
  <si>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</si>
  <si>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</si>
  <si>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</si>
  <si>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</si>
  <si>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</si>
  <si>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</si>
  <si>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</si>
  <si>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</si>
  <si>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</si>
  <si>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</si>
  <si>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</si>
  <si>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</si>
  <si>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</si>
  <si>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</si>
  <si>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</si>
  <si>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</si>
  <si>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</si>
  <si>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</si>
  <si>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</si>
  <si>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</si>
  <si>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</si>
  <si>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</si>
  <si>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</si>
  <si>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</si>
  <si>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</si>
  <si>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</si>
  <si>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</si>
  <si>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</si>
  <si>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</si>
  <si>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</si>
  <si>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</si>
  <si>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</si>
  <si>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</si>
  <si>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</si>
  <si>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</si>
  <si>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</si>
  <si>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</si>
  <si>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</si>
  <si>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</si>
  <si>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</si>
  <si>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</si>
  <si>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</si>
  <si>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</si>
  <si>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</si>
  <si>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</si>
  <si>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</si>
  <si>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</si>
  <si>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</si>
  <si>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</si>
  <si>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</si>
  <si>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</si>
  <si>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</si>
  <si>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</si>
  <si>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</si>
  <si>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</si>
  <si>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</si>
  <si>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</si>
  <si>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</si>
  <si>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</si>
  <si>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</si>
  <si>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</si>
  <si>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</si>
  <si>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</si>
  <si>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</si>
  <si>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</si>
  <si>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</si>
  <si>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</si>
  <si>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</si>
  <si>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</si>
  <si>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</si>
  <si>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</si>
  <si>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</si>
  <si>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</si>
  <si>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</si>
  <si>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</si>
  <si>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</si>
  <si>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</si>
  <si>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</si>
  <si>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</si>
  <si>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</si>
  <si>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</si>
  <si>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</si>
  <si>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</si>
  <si>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</si>
  <si>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</si>
  <si>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</si>
  <si>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</si>
  <si>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</si>
  <si>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</si>
  <si>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</si>
  <si>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</si>
  <si>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</si>
  <si>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</si>
  <si>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</si>
  <si>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</si>
  <si>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</si>
  <si>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</si>
  <si>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</si>
  <si>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</si>
  <si>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</si>
  <si>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</si>
  <si>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</si>
  <si>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</si>
  <si>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</si>
  <si>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</si>
  <si>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</si>
  <si>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</si>
  <si>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</si>
  <si>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</si>
  <si>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</si>
  <si>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</si>
  <si>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</si>
  <si>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</si>
  <si>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</si>
  <si>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</si>
  <si>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</si>
  <si>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</si>
  <si>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</si>
  <si>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</si>
  <si>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</si>
  <si>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</si>
  <si>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</si>
  <si>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</si>
  <si>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</si>
  <si>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</si>
  <si>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</si>
  <si>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</si>
  <si>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</si>
  <si>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</si>
  <si>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</si>
  <si>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</si>
  <si>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</si>
  <si>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</si>
  <si>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</si>
  <si>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</si>
  <si>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</si>
  <si>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</si>
  <si>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</si>
  <si>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</si>
  <si>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</si>
  <si>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</si>
  <si>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</si>
  <si>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</si>
  <si>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</si>
  <si>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</si>
  <si>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</si>
  <si>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</si>
  <si>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</si>
  <si>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</si>
  <si>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</si>
  <si>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</si>
  <si>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</si>
  <si>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</si>
  <si>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</si>
  <si>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</si>
  <si>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</si>
  <si>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</si>
  <si>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</si>
  <si>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</si>
  <si>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</si>
  <si>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</si>
  <si>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</si>
  <si>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</si>
  <si>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</si>
  <si>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</si>
  <si>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</si>
  <si>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</si>
  <si>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</si>
  <si>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</si>
  <si>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</si>
  <si>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</si>
  <si>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</si>
  <si>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</si>
  <si>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</si>
  <si>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</si>
  <si>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</si>
  <si>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</si>
  <si>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</si>
  <si>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</si>
  <si>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</si>
  <si>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</si>
  <si>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</si>
  <si>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</si>
  <si>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</si>
  <si>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</si>
  <si>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</si>
  <si>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</si>
  <si>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</si>
  <si>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</si>
  <si>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</si>
  <si>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</si>
  <si>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</si>
  <si>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</si>
  <si>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</si>
  <si>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</si>
  <si>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</si>
  <si>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</si>
  <si>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</si>
  <si>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</si>
  <si>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</si>
  <si>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</si>
  <si>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</si>
  <si>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</si>
  <si>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</si>
  <si>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</si>
  <si>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</si>
  <si>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</si>
  <si>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</si>
  <si>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</si>
  <si>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</si>
  <si>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</si>
  <si>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</si>
  <si>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</si>
  <si>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</si>
  <si>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</si>
  <si>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</si>
  <si>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</si>
  <si>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</si>
  <si>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</si>
  <si>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</si>
  <si>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</si>
  <si>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</si>
  <si>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</si>
  <si>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</si>
  <si>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</si>
  <si>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</si>
  <si>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</si>
  <si>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</si>
  <si>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</si>
  <si>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</si>
  <si>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</si>
  <si>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</si>
  <si>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</si>
  <si>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</si>
  <si>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</si>
  <si>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</si>
  <si>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</si>
  <si>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</si>
  <si>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</si>
  <si>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</si>
  <si>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</si>
  <si>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</si>
  <si>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</si>
  <si>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</si>
  <si>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</si>
  <si>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</si>
  <si>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</si>
  <si>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</si>
  <si>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</si>
  <si>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</si>
  <si>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</si>
  <si>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</si>
  <si>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</si>
  <si>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</si>
  <si>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</si>
  <si>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</si>
  <si>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</si>
  <si>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</si>
  <si>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</si>
  <si>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</si>
  <si>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</si>
  <si>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</si>
  <si>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</si>
  <si>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</si>
  <si>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</si>
  <si>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</si>
  <si>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</si>
  <si>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</si>
  <si>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</si>
  <si>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</si>
  <si>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</si>
  <si>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</si>
  <si>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</si>
  <si>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</si>
  <si>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</si>
  <si>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</si>
  <si>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</si>
  <si>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</si>
  <si>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</si>
  <si>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</si>
  <si>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</si>
  <si>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</si>
  <si>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</si>
  <si>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</si>
  <si>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</si>
  <si>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</si>
  <si>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</si>
  <si>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</si>
  <si>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</si>
  <si>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</si>
  <si>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</si>
  <si>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</si>
  <si>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</si>
  <si>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</si>
  <si>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</si>
  <si>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</si>
  <si>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</si>
  <si>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</si>
  <si>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</si>
  <si>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</si>
  <si>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</si>
  <si>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</si>
  <si>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</si>
  <si>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</si>
  <si>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</si>
  <si>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</si>
  <si>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</si>
  <si>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</si>
  <si>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</si>
  <si>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</si>
  <si>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</si>
  <si>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</si>
  <si>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</si>
  <si>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</si>
  <si>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</si>
  <si>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</si>
  <si>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</si>
  <si>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</si>
  <si>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</si>
  <si>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</si>
  <si>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</si>
  <si>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</si>
  <si>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</si>
  <si>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</si>
  <si>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</si>
  <si>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</si>
  <si>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</si>
  <si>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</si>
  <si>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</si>
  <si>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</si>
  <si>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</si>
  <si>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</si>
  <si>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</si>
  <si>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</si>
  <si>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</si>
  <si>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</si>
  <si>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</si>
  <si>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</si>
  <si>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</si>
  <si>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</si>
  <si>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</si>
  <si>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</si>
  <si>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</si>
  <si>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</si>
  <si>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</si>
  <si>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</si>
  <si>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</si>
  <si>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</si>
  <si>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</si>
  <si>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</si>
  <si>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</si>
  <si>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</si>
  <si>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</si>
  <si>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</si>
  <si>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</si>
  <si>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</si>
  <si>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</si>
  <si>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</si>
  <si>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</si>
  <si>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</si>
  <si>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</si>
  <si>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</si>
  <si>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</si>
  <si>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</si>
  <si>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</si>
  <si>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</si>
  <si>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</si>
  <si>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</si>
  <si>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</si>
  <si>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</si>
  <si>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</si>
  <si>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</si>
  <si>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</si>
  <si>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</si>
  <si>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</si>
  <si>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</si>
  <si>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</si>
  <si>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</si>
  <si>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</si>
  <si>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</si>
  <si>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</si>
  <si>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</si>
  <si>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</si>
  <si>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</si>
  <si>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</si>
  <si>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</si>
  <si>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</si>
  <si>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</si>
  <si>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</si>
  <si>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</si>
  <si>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</si>
  <si>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</si>
  <si>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</si>
  <si>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</si>
  <si>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</si>
  <si>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</si>
  <si>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</si>
  <si>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</si>
  <si>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</si>
  <si>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</si>
  <si>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</si>
  <si>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</si>
  <si>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</si>
  <si>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</si>
  <si>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</si>
  <si>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</si>
  <si>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</si>
  <si>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</si>
  <si>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</si>
  <si>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</si>
  <si>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</si>
  <si>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</si>
  <si>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</si>
  <si>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</si>
  <si>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</si>
  <si>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</si>
  <si>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</si>
  <si>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</si>
  <si>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</si>
  <si>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</si>
  <si>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</si>
  <si>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</si>
  <si>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</si>
  <si>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</si>
  <si>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</si>
  <si>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</si>
  <si>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</si>
  <si>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</si>
  <si>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</si>
  <si>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</si>
  <si>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</si>
  <si>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</si>
  <si>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</si>
  <si>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</si>
  <si>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</si>
  <si>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</si>
  <si>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</si>
  <si>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</si>
  <si>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</si>
  <si>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</si>
  <si>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</si>
  <si>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</si>
  <si>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</si>
  <si>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</si>
  <si>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</si>
  <si>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</si>
  <si>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</si>
  <si>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</si>
  <si>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</si>
  <si>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</si>
  <si>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</si>
  <si>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</si>
  <si>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</si>
  <si>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</si>
  <si>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</si>
  <si>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</si>
  <si>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</si>
  <si>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</si>
  <si>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</si>
  <si>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</si>
  <si>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</si>
  <si>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</si>
  <si>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</si>
  <si>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</si>
  <si>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</si>
  <si>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</si>
  <si>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</si>
  <si>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</si>
  <si>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</si>
  <si>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</si>
  <si>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</si>
  <si>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</si>
  <si>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</si>
  <si>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</si>
  <si>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</si>
  <si>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</si>
  <si>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</si>
  <si>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</si>
  <si>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</si>
  <si>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</si>
  <si>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</si>
  <si>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</si>
  <si>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</si>
  <si>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</si>
  <si>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</si>
  <si>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</si>
  <si>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</si>
  <si>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</si>
  <si>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</si>
  <si>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</si>
  <si>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</si>
  <si>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</si>
  <si>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</si>
  <si>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</si>
  <si>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</si>
  <si>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</si>
  <si>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Type:</t>
  </si>
  <si>
    <t>-&gt;</t>
  </si>
  <si>
    <t>&lt;-</t>
  </si>
  <si>
    <t>descriptions</t>
  </si>
  <si>
    <t>Use Aim when you point a pistol at someone and pull the trigger. Use Aim when you throw a knife across a crowded room with pinpoint accuracy, whether your target is a person or an object.</t>
  </si>
  <si>
    <t>Use Athletics to swing across a room on a chandelier, jump from rooftop-to-rooftop, or otherwise perform a dangerous physical stunt.</t>
  </si>
  <si>
    <t>Use Brawl whenever you punch or kick someone in the face. Use Brawl when you grab someone and drag him down an alleyway.</t>
  </si>
  <si>
    <t>Use Convince when you appeal to another character’s better nature. Use Convince when you assure someone you’re being completely honest with her and she should trust you.</t>
  </si>
  <si>
    <t>Use Empathy when you want to tell if someone is being genuine. Use Empathy when you determine someone’s general mental state—they’re afraid, they’re nervous, they’re angry.</t>
  </si>
  <si>
    <t>Use Hide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</si>
  <si>
    <t>Use Intimidate when you make someone do what you want under threat of some action from you, physical or otherwise.</t>
  </si>
  <si>
    <t>Use Notice when you investigate a crime scene or search a Villain’s study for clues. Use Notice when you want to pick out fine details at a glance.</t>
  </si>
  <si>
    <t>Use Perform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</si>
  <si>
    <t>Use Ride when you engage in a high-speed carriage chase. Use Ride when you ride a horse through the forest at a gallop.</t>
  </si>
  <si>
    <t>Use Sailing whenever you navigate your way through a ship’s rigging. Use Sailing when you attempt to steer a ship during a pitched battle at sea, or through a dangerously narrow channel.</t>
  </si>
  <si>
    <t>Use Scholarship when you wax ecstatic about a certain subject matter, either from personal experience or teachings. Use Scholarship when you consult your knowledge to fill in the details on a certain subject. Use Scholarship when you call upon your medical training to tend to an injury.</t>
  </si>
  <si>
    <t>Use Tempt when you bribe someone to do something for you that she really shouldn’t agree to do. Use Tempt when you convince someone to give you a little “alone time.”</t>
  </si>
  <si>
    <t>Use Theft when you swipe something from someone’s pocket without him noticing. Use Theft when you pick a lock, crack a safe, or something similar.</t>
  </si>
  <si>
    <t>Use Warfare whenever you need tactical expertise, such as when you’re breaching a castle’s defense. Use Warfare when you lead an army in battle.</t>
  </si>
  <si>
    <t>Use Weaponry when you attack something with a sword, axe, hammer, or knife in your hand.</t>
  </si>
  <si>
    <r>
      <t xml:space="preserve">Use </t>
    </r>
    <r>
      <rPr>
        <b/>
        <sz val="11"/>
        <color theme="1"/>
        <rFont val="Calibri"/>
        <family val="2"/>
        <scheme val="minor"/>
      </rPr>
      <t>Aim</t>
    </r>
    <r>
      <rPr>
        <sz val="11"/>
        <color theme="1"/>
        <rFont val="Calibri"/>
        <family val="2"/>
        <scheme val="minor"/>
      </rPr>
      <t xml:space="preserve"> when you point a pistol at someone and pull the trigger. Use Aim when you throw a knife across a crowded room with pinpoint accuracy, whether your target is a person or an object.</t>
    </r>
  </si>
  <si>
    <r>
      <t xml:space="preserve">Use </t>
    </r>
    <r>
      <rPr>
        <b/>
        <sz val="11"/>
        <color theme="1"/>
        <rFont val="Calibri"/>
        <family val="2"/>
        <scheme val="minor"/>
      </rPr>
      <t>Athletics</t>
    </r>
    <r>
      <rPr>
        <sz val="11"/>
        <color theme="1"/>
        <rFont val="Calibri"/>
        <family val="2"/>
        <scheme val="minor"/>
      </rPr>
      <t xml:space="preserve"> to swing across a room on a chandelier, jump from rooftop-to-rooftop, or otherwise perform a dangerous physical stunt.</t>
    </r>
  </si>
  <si>
    <r>
      <t xml:space="preserve">Use </t>
    </r>
    <r>
      <rPr>
        <b/>
        <sz val="11"/>
        <color theme="1"/>
        <rFont val="Calibri"/>
        <family val="2"/>
        <scheme val="minor"/>
      </rPr>
      <t>Brawl</t>
    </r>
    <r>
      <rPr>
        <sz val="11"/>
        <color theme="1"/>
        <rFont val="Calibri"/>
        <family val="2"/>
        <scheme val="minor"/>
      </rPr>
      <t xml:space="preserve"> whenever you punch or kick someone in the face. Use Brawl when you grab someone and drag him down an alleyway.</t>
    </r>
  </si>
  <si>
    <r>
      <t xml:space="preserve">Use </t>
    </r>
    <r>
      <rPr>
        <b/>
        <sz val="11"/>
        <color theme="1"/>
        <rFont val="Calibri"/>
        <family val="2"/>
        <scheme val="minor"/>
      </rPr>
      <t>Convince</t>
    </r>
    <r>
      <rPr>
        <sz val="11"/>
        <color theme="1"/>
        <rFont val="Calibri"/>
        <family val="2"/>
        <scheme val="minor"/>
      </rPr>
      <t xml:space="preserve"> when you appeal to another character’s better nature. Use Convince when you assure someone you’re being completely honest with her and she should trust you.</t>
    </r>
  </si>
  <si>
    <r>
      <t xml:space="preserve">Use </t>
    </r>
    <r>
      <rPr>
        <b/>
        <sz val="11"/>
        <color theme="1"/>
        <rFont val="Calibri"/>
        <family val="2"/>
        <scheme val="minor"/>
      </rPr>
      <t>Empathy</t>
    </r>
    <r>
      <rPr>
        <sz val="11"/>
        <color theme="1"/>
        <rFont val="Calibri"/>
        <family val="2"/>
        <scheme val="minor"/>
      </rPr>
      <t xml:space="preserve"> when you want to tell if someone is being genuine. Use Empathy when you determine someone’s general mental state—they’re afraid, they’re nervous, they’re angry.</t>
    </r>
  </si>
  <si>
    <r>
      <t xml:space="preserve">Use </t>
    </r>
    <r>
      <rPr>
        <b/>
        <sz val="11"/>
        <color theme="1"/>
        <rFont val="Calibri"/>
        <family val="2"/>
        <scheme val="minor"/>
      </rPr>
      <t>Hide</t>
    </r>
    <r>
      <rPr>
        <sz val="11"/>
        <color theme="1"/>
        <rFont val="Calibri"/>
        <family val="2"/>
        <scheme val="minor"/>
      </rPr>
      <t xml:space="preserv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r>
  </si>
  <si>
    <r>
      <t xml:space="preserve">Use </t>
    </r>
    <r>
      <rPr>
        <b/>
        <sz val="11"/>
        <color theme="1"/>
        <rFont val="Calibri"/>
        <family val="2"/>
        <scheme val="minor"/>
      </rPr>
      <t>Intimidate</t>
    </r>
    <r>
      <rPr>
        <sz val="11"/>
        <color theme="1"/>
        <rFont val="Calibri"/>
        <family val="2"/>
        <scheme val="minor"/>
      </rPr>
      <t xml:space="preserve"> when you make someone do what you want under threat of some action from you, physical or otherwise.</t>
    </r>
  </si>
  <si>
    <r>
      <t xml:space="preserve">Use </t>
    </r>
    <r>
      <rPr>
        <b/>
        <sz val="11"/>
        <color theme="1"/>
        <rFont val="Calibri"/>
        <family val="2"/>
        <scheme val="minor"/>
      </rPr>
      <t>Weaponry</t>
    </r>
    <r>
      <rPr>
        <sz val="11"/>
        <color theme="1"/>
        <rFont val="Calibri"/>
        <family val="2"/>
        <scheme val="minor"/>
      </rPr>
      <t xml:space="preserve"> when you attack something with a sword, axe, hammer, or knife in your hand.</t>
    </r>
  </si>
  <si>
    <r>
      <t xml:space="preserve">Use </t>
    </r>
    <r>
      <rPr>
        <b/>
        <sz val="11"/>
        <color theme="1"/>
        <rFont val="Calibri"/>
        <family val="2"/>
        <scheme val="minor"/>
      </rPr>
      <t>Warfare</t>
    </r>
    <r>
      <rPr>
        <sz val="11"/>
        <color theme="1"/>
        <rFont val="Calibri"/>
        <family val="2"/>
        <scheme val="minor"/>
      </rPr>
      <t xml:space="preserve"> whenever you need tactical expertise, such as when you’re breaching a castle’s defense. Use Warfare when you lead an army in battle.</t>
    </r>
  </si>
  <si>
    <r>
      <t xml:space="preserve">Use </t>
    </r>
    <r>
      <rPr>
        <b/>
        <sz val="11"/>
        <color theme="1"/>
        <rFont val="Calibri"/>
        <family val="2"/>
        <scheme val="minor"/>
      </rPr>
      <t>Theft</t>
    </r>
    <r>
      <rPr>
        <sz val="11"/>
        <color theme="1"/>
        <rFont val="Calibri"/>
        <family val="2"/>
        <scheme val="minor"/>
      </rPr>
      <t xml:space="preserve"> when you swipe something from someone’s pocket without him noticing. Use Theft when you pick a lock, crack a safe, or something similar.</t>
    </r>
  </si>
  <si>
    <r>
      <t xml:space="preserve">Use </t>
    </r>
    <r>
      <rPr>
        <b/>
        <sz val="11"/>
        <color theme="1"/>
        <rFont val="Calibri"/>
        <family val="2"/>
        <scheme val="minor"/>
      </rPr>
      <t xml:space="preserve">Tempt </t>
    </r>
    <r>
      <rPr>
        <sz val="11"/>
        <color theme="1"/>
        <rFont val="Calibri"/>
        <family val="2"/>
        <scheme val="minor"/>
      </rPr>
      <t>when you bribe someone to do something for you that she really shouldn’t agree to do. Use Tempt when you convince someone to give you a little “alone time.”</t>
    </r>
  </si>
  <si>
    <r>
      <t xml:space="preserve">Use </t>
    </r>
    <r>
      <rPr>
        <b/>
        <sz val="11"/>
        <color theme="1"/>
        <rFont val="Calibri"/>
        <family val="2"/>
        <scheme val="minor"/>
      </rPr>
      <t>Scholarship</t>
    </r>
    <r>
      <rPr>
        <sz val="11"/>
        <color theme="1"/>
        <rFont val="Calibri"/>
        <family val="2"/>
        <scheme val="minor"/>
      </rPr>
      <t xml:space="preserve"> when you wax ecstatic about a certain subject matter, either from personal experience or teachings. Use Scholarship when you consult your knowledge to fill in the details on a certain subject. Use Scholarship when you call upon your medical training to tend to an injury.</t>
    </r>
  </si>
  <si>
    <r>
      <t xml:space="preserve">Use </t>
    </r>
    <r>
      <rPr>
        <b/>
        <sz val="11"/>
        <color theme="1"/>
        <rFont val="Calibri"/>
        <family val="2"/>
        <scheme val="minor"/>
      </rPr>
      <t>Sailing</t>
    </r>
    <r>
      <rPr>
        <sz val="11"/>
        <color theme="1"/>
        <rFont val="Calibri"/>
        <family val="2"/>
        <scheme val="minor"/>
      </rPr>
      <t xml:space="preserve"> whenever you navigate your way through a ship’s rigging. Use Sailing when you attempt to steer a ship during a pitched battle at sea, or through a dangerously narrow channel.</t>
    </r>
  </si>
  <si>
    <r>
      <t xml:space="preserve">Use </t>
    </r>
    <r>
      <rPr>
        <b/>
        <sz val="11"/>
        <color theme="1"/>
        <rFont val="Calibri"/>
        <family val="2"/>
        <scheme val="minor"/>
      </rPr>
      <t>Ride</t>
    </r>
    <r>
      <rPr>
        <sz val="11"/>
        <color theme="1"/>
        <rFont val="Calibri"/>
        <family val="2"/>
        <scheme val="minor"/>
      </rPr>
      <t xml:space="preserve"> when you engage in a high-speed carriage chase. Use Ride when you ride a horse through the forest at a gallop.</t>
    </r>
  </si>
  <si>
    <r>
      <t xml:space="preserve">Use </t>
    </r>
    <r>
      <rPr>
        <b/>
        <sz val="11"/>
        <color theme="1"/>
        <rFont val="Calibri"/>
        <family val="2"/>
        <scheme val="minor"/>
      </rPr>
      <t>Notice</t>
    </r>
    <r>
      <rPr>
        <sz val="11"/>
        <color theme="1"/>
        <rFont val="Calibri"/>
        <family val="2"/>
        <scheme val="minor"/>
      </rPr>
      <t xml:space="preserve"> when you investigate a crime scene or search a Villain’s study for clues. Use Notice when you want to pick out fine details at a glance.</t>
    </r>
  </si>
  <si>
    <r>
      <t xml:space="preserve">Use </t>
    </r>
    <r>
      <rPr>
        <b/>
        <sz val="11"/>
        <color theme="1"/>
        <rFont val="Calibri"/>
        <family val="2"/>
        <scheme val="minor"/>
      </rPr>
      <t>Perform</t>
    </r>
    <r>
      <rPr>
        <sz val="11"/>
        <color theme="1"/>
        <rFont val="Calibri"/>
        <family val="2"/>
        <scheme val="minor"/>
      </rPr>
      <t xml:space="preserve">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r>
  </si>
  <si>
    <t xml:space="preserve">Sorcery Level: </t>
  </si>
  <si>
    <t>Ability Descriptions</t>
  </si>
  <si>
    <t>Any skill at 3: reroll 1 die when using that skill</t>
  </si>
  <si>
    <t>Any skill at 4: can get 2 raises with sets of 15</t>
  </si>
  <si>
    <t>Any skill at 5: 10's explode</t>
  </si>
  <si>
    <t>Skill at 3: reroll 1 die</t>
  </si>
  <si>
    <t>Skill at 4: can get 2 raises with sets of 15</t>
  </si>
  <si>
    <t>Skill at 5: 10's explode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</si>
  <si>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fine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</si>
  <si>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can spend a Hero Point to locate a fixer, an information broker, a black market, or a similar underworld figure.</t>
  </si>
  <si>
    <t>If you are in the wilderness, you can forage or hunt and find enough food for yourself and up to five other people. Under extreme circumstances—lost in the middle of a desert, or abandoned in the Ussuran tundra, for example—you find enough food for yourself and up to two other people.</t>
  </si>
  <si>
    <t>You attended one of Theah’s formal universities and are familiar with many academic fields of study such as mathematics, architecture, and astronomy. When you make a Risk using Scholarship, Empathy, or Notice, all of your dice gain +1 to their value.</t>
  </si>
  <si>
    <t>As long as you have a clear line of sight, you can see perfectly out to a distance of one mile. If you use a spyglass you can even pick out fine details, such as the inscription carved into a wedding band. If you make a Risk that relies heavily on your keen vision, you gain 1 Bonus Die.</t>
  </si>
  <si>
    <t>You have a small group of individuals who are devoted to you, or a single trusted ally who would walk through fire for you (a bodyguard, a horse, etc.). If your allies directly aid you in a Risk, you gain a Bonus Die if you describe specifically how they aid you. If you send them out to accomplish something else and they need to make a Risk (GM discretion), they roll five dice. Your Trusted Companion can take 5 Wounds before he becomes Helpless, and will more than likely require you to rescue him.</t>
  </si>
  <si>
    <t>The Sheet tab imports the information from the builder tab onto something similar to the character sheet provided in the rulebook.  It has a second page to it that copies the descriptions of various things listed on the main sheet, but due to how excel treats wrapped text some rows may need to be resized before printing.</t>
  </si>
  <si>
    <t>The adv shuffle tab (hidden by default) is a series of functions to remove the blanks between advantages before loading them onto the sheets.</t>
  </si>
  <si>
    <t>The Styles tab (hidden by default) has tables for the fighting styles and sorcery descriptions.</t>
  </si>
  <si>
    <t>Version 1.0.4</t>
  </si>
  <si>
    <t>1.0.4</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</si>
  <si>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</si>
  <si>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You cannot purchase the “Small” Advantage. Gain 1 Bonus Die on any Risk that is easier due to your size—using Athletics to run at full speed even while carrying another Hero, or looming over someone in order to Intimidate them.</t>
  </si>
  <si>
    <t>Released 7-7-2016</t>
  </si>
  <si>
    <t>Spend a Hero Point to convince another character to grant you an object you want at no cost. They might give you something they already have or go to some lengths—legal or illegal—to procure the item, whatever is the easiest way for them to get their hands on what you want.</t>
  </si>
  <si>
    <t>Added descriptions to the builder tab, added a page of descriptions to the Sheets tab.  Fixed Large adv, schools printout, and various misspellings.</t>
  </si>
  <si>
    <t>The Explorer's Society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</si>
</sst>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
      <b/>
      <sz val="10"/>
      <color theme="1"/>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13">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2" xfId="0" applyBorder="1"/>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0" borderId="0" xfId="0" applyAlignment="1">
      <alignment shrinkToFit="1"/>
    </xf>
    <xf numFmtId="0" fontId="13"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5" fillId="12" borderId="0" xfId="0" applyFont="1" applyFill="1" applyAlignment="1">
      <alignment horizontal="center" shrinkToFit="1"/>
    </xf>
    <xf numFmtId="0" fontId="4" fillId="0" borderId="0" xfId="0" applyFont="1" applyAlignment="1">
      <alignment horizontal="center" vertical="center" shrinkToFit="1"/>
    </xf>
    <xf numFmtId="0" fontId="11" fillId="0" borderId="0" xfId="0" applyFont="1" applyAlignment="1">
      <alignment horizontal="right" vertical="center"/>
    </xf>
    <xf numFmtId="0" fontId="0" fillId="0" borderId="0" xfId="0" applyAlignment="1"/>
    <xf numFmtId="0" fontId="4" fillId="0" borderId="0" xfId="0" applyFont="1" applyAlignment="1"/>
    <xf numFmtId="0" fontId="15" fillId="0" borderId="0" xfId="0" applyFont="1" applyFill="1" applyAlignment="1">
      <alignment horizontal="center" shrinkToFit="1"/>
    </xf>
    <xf numFmtId="0" fontId="7" fillId="2" borderId="0" xfId="0" applyFont="1" applyFill="1" applyAlignment="1" applyProtection="1">
      <alignment horizontal="right"/>
    </xf>
    <xf numFmtId="0" fontId="0" fillId="2" borderId="0" xfId="0" applyFill="1" applyProtection="1"/>
    <xf numFmtId="0" fontId="13" fillId="11" borderId="0" xfId="0" applyFont="1" applyFill="1" applyProtection="1"/>
    <xf numFmtId="0" fontId="0" fillId="0" borderId="0" xfId="0"/>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Alignment="1">
      <alignment shrinkToFit="1"/>
    </xf>
    <xf numFmtId="0" fontId="0" fillId="0" borderId="0" xfId="0"/>
    <xf numFmtId="0" fontId="0" fillId="0" borderId="0" xfId="0" quotePrefix="1" applyAlignment="1" applyProtection="1">
      <alignment horizontal="right"/>
    </xf>
    <xf numFmtId="0" fontId="0" fillId="8" borderId="0" xfId="0" applyFill="1" applyProtection="1"/>
    <xf numFmtId="0" fontId="0" fillId="14" borderId="0" xfId="0" applyFill="1" applyProtection="1"/>
    <xf numFmtId="0" fontId="0" fillId="0" borderId="6" xfId="0" applyBorder="1" applyAlignment="1">
      <alignment horizontal="left" shrinkToFit="1"/>
    </xf>
    <xf numFmtId="0" fontId="0" fillId="0" borderId="8" xfId="0" applyBorder="1" applyAlignment="1">
      <alignment horizontal="left" shrinkToFit="1"/>
    </xf>
    <xf numFmtId="0" fontId="1" fillId="14" borderId="0" xfId="0" applyFont="1" applyFill="1" applyProtection="1"/>
    <xf numFmtId="0" fontId="1" fillId="8" borderId="0" xfId="0" applyFont="1" applyFill="1" applyProtection="1"/>
    <xf numFmtId="0" fontId="0" fillId="9" borderId="10" xfId="0" applyFill="1" applyBorder="1"/>
    <xf numFmtId="0" fontId="0" fillId="0" borderId="0" xfId="0" quotePrefix="1" applyBorder="1"/>
    <xf numFmtId="0" fontId="10" fillId="13" borderId="0" xfId="0" applyFont="1" applyFill="1" applyAlignment="1">
      <alignment shrinkToFit="1"/>
    </xf>
    <xf numFmtId="0" fontId="10" fillId="0" borderId="0" xfId="0" applyFont="1" applyAlignment="1">
      <alignment shrinkToFit="1"/>
    </xf>
    <xf numFmtId="0" fontId="0" fillId="0" borderId="0" xfId="0" quotePrefix="1"/>
    <xf numFmtId="0" fontId="17" fillId="16" borderId="0" xfId="0" applyFont="1" applyFill="1" applyAlignment="1">
      <alignment shrinkToFit="1"/>
    </xf>
    <xf numFmtId="0" fontId="8" fillId="0" borderId="0" xfId="0" applyFont="1" applyAlignment="1">
      <alignment shrinkToFit="1"/>
    </xf>
    <xf numFmtId="0" fontId="8" fillId="0" borderId="0" xfId="0" applyFont="1" applyAlignment="1">
      <alignment vertical="top" shrinkToFit="1"/>
    </xf>
    <xf numFmtId="0" fontId="0" fillId="2" borderId="0" xfId="0" applyFill="1" applyAlignment="1">
      <alignment wrapText="1"/>
    </xf>
    <xf numFmtId="0" fontId="0" fillId="2" borderId="0" xfId="0" applyFill="1"/>
    <xf numFmtId="0" fontId="1" fillId="2" borderId="0" xfId="0" applyFont="1" applyFill="1"/>
    <xf numFmtId="0" fontId="13" fillId="11" borderId="0" xfId="0" applyFont="1" applyFill="1" applyBorder="1" applyAlignment="1" applyProtection="1">
      <alignment horizontal="left"/>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1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2" borderId="0" xfId="0" applyFill="1" applyBorder="1" applyProtection="1">
      <protection locked="0"/>
    </xf>
    <xf numFmtId="0" fontId="0" fillId="2" borderId="0" xfId="0" applyFill="1" applyBorder="1" applyAlignment="1" applyProtection="1">
      <alignment shrinkToFit="1"/>
    </xf>
    <xf numFmtId="0" fontId="0" fillId="2" borderId="0" xfId="0" applyFill="1" applyBorder="1" applyAlignment="1" applyProtection="1">
      <alignment horizontal="left"/>
    </xf>
    <xf numFmtId="0" fontId="0" fillId="15" borderId="0" xfId="0" applyFill="1" applyAlignment="1" applyProtection="1">
      <alignment vertical="top" shrinkToFit="1"/>
    </xf>
    <xf numFmtId="0" fontId="0" fillId="15" borderId="0" xfId="0" applyFill="1" applyAlignment="1" applyProtection="1">
      <alignment vertical="top" wrapText="1" shrinkToFit="1"/>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13" fillId="11" borderId="0" xfId="0" applyFont="1" applyFill="1" applyBorder="1" applyProtection="1">
      <protection locked="0"/>
    </xf>
    <xf numFmtId="0" fontId="0" fillId="2" borderId="0" xfId="0" applyFill="1" applyAlignment="1" applyProtection="1">
      <alignment horizontal="left" vertical="top" wrapText="1"/>
    </xf>
    <xf numFmtId="0" fontId="0" fillId="8" borderId="0" xfId="0" applyFill="1" applyAlignment="1" applyProtection="1">
      <alignmen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2" borderId="21" xfId="0" applyFill="1" applyBorder="1" applyAlignment="1" applyProtection="1">
      <alignment shrinkToFit="1"/>
    </xf>
    <xf numFmtId="0" fontId="13" fillId="11" borderId="0" xfId="0" applyFont="1" applyFill="1" applyAlignment="1" applyProtection="1">
      <alignment horizontal="right"/>
    </xf>
    <xf numFmtId="0" fontId="0" fillId="14" borderId="0" xfId="0" applyFill="1" applyProtection="1"/>
    <xf numFmtId="0" fontId="1" fillId="14" borderId="0" xfId="0" applyFont="1" applyFill="1" applyProtection="1"/>
    <xf numFmtId="0" fontId="0" fillId="14" borderId="0" xfId="0" applyFill="1" applyAlignment="1" applyProtection="1">
      <alignment vertical="top" wrapText="1"/>
    </xf>
    <xf numFmtId="0" fontId="1" fillId="14" borderId="0" xfId="0" applyFont="1" applyFill="1" applyAlignment="1" applyProtection="1">
      <alignment horizontal="left"/>
    </xf>
    <xf numFmtId="0" fontId="8" fillId="0" borderId="0" xfId="0" applyFont="1" applyAlignment="1">
      <alignment horizontal="left" vertical="top" wrapText="1"/>
    </xf>
    <xf numFmtId="0" fontId="0" fillId="0" borderId="0" xfId="0"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7" xfId="0" applyFill="1"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0" fillId="0" borderId="9" xfId="0" applyBorder="1"/>
    <xf numFmtId="0" fontId="0" fillId="0" borderId="11" xfId="0" applyBorder="1"/>
    <xf numFmtId="0" fontId="0" fillId="0" borderId="10" xfId="0" applyFill="1" applyBorder="1"/>
    <xf numFmtId="0" fontId="0" fillId="0" borderId="4" xfId="0" applyFill="1" applyBorder="1"/>
    <xf numFmtId="0" fontId="0" fillId="0" borderId="5" xfId="0" applyFill="1" applyBorder="1"/>
    <xf numFmtId="0" fontId="0" fillId="0" borderId="9" xfId="0" applyFill="1" applyBorder="1"/>
    <xf numFmtId="0" fontId="10" fillId="0" borderId="0" xfId="0" applyFont="1"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22" fontId="0" fillId="0" borderId="0" xfId="0" applyNumberFormat="1" applyAlignment="1">
      <alignment horizontal="right"/>
    </xf>
    <xf numFmtId="0" fontId="5" fillId="0" borderId="0" xfId="0" applyFont="1"/>
    <xf numFmtId="0" fontId="0" fillId="0" borderId="0" xfId="0" applyAlignment="1">
      <alignment horizontal="center"/>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0" borderId="0" xfId="0"/>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5" xfId="0" applyBorder="1" applyAlignment="1">
      <alignment horizontal="right"/>
    </xf>
    <xf numFmtId="0" fontId="0" fillId="0" borderId="15" xfId="0" applyBorder="1"/>
    <xf numFmtId="0" fontId="0" fillId="2" borderId="0" xfId="0" applyFill="1" applyBorder="1"/>
    <xf numFmtId="0" fontId="0" fillId="0" borderId="0" xfId="0" applyAlignment="1">
      <alignment horizontal="center" shrinkToFit="1"/>
    </xf>
    <xf numFmtId="0" fontId="0" fillId="0" borderId="0" xfId="0" applyAlignment="1">
      <alignment shrinkToFit="1"/>
    </xf>
    <xf numFmtId="0" fontId="11" fillId="0" borderId="0" xfId="0" applyFont="1" applyAlignment="1">
      <alignment horizontal="right" vertical="center"/>
    </xf>
    <xf numFmtId="0" fontId="0" fillId="0" borderId="8" xfId="0" applyBorder="1" applyAlignment="1">
      <alignment horizontal="right" vertical="center" shrinkToFit="1"/>
    </xf>
    <xf numFmtId="0" fontId="0" fillId="0" borderId="7" xfId="0" applyBorder="1" applyAlignment="1">
      <alignment vertical="center" shrinkToFit="1"/>
    </xf>
    <xf numFmtId="0" fontId="0" fillId="0" borderId="0" xfId="0" applyBorder="1" applyAlignment="1">
      <alignment horizontal="right" vertical="center" shrinkToFit="1"/>
    </xf>
    <xf numFmtId="0" fontId="2" fillId="0" borderId="0" xfId="0" applyFont="1" applyAlignment="1">
      <alignment vertical="center" wrapText="1" shrinkToFit="1"/>
    </xf>
    <xf numFmtId="0" fontId="11" fillId="0" borderId="0" xfId="0" applyFont="1" applyAlignment="1">
      <alignment horizontal="right" vertical="center" shrinkToFit="1"/>
    </xf>
    <xf numFmtId="0" fontId="15" fillId="12" borderId="0" xfId="0" applyFont="1" applyFill="1" applyAlignment="1">
      <alignment horizontal="center" shrinkToFit="1"/>
    </xf>
    <xf numFmtId="0" fontId="0" fillId="0" borderId="0" xfId="0" applyAlignment="1">
      <alignment horizontal="right" vertical="center" shrinkToFit="1"/>
    </xf>
    <xf numFmtId="0" fontId="16" fillId="0" borderId="0" xfId="0" applyFont="1" applyAlignment="1">
      <alignment horizontal="left" vertical="top" wrapText="1" shrinkToFit="1"/>
    </xf>
    <xf numFmtId="0" fontId="0" fillId="0" borderId="0" xfId="0" applyAlignment="1">
      <alignment horizontal="left" shrinkToFit="1"/>
    </xf>
    <xf numFmtId="0" fontId="0" fillId="0" borderId="7" xfId="0" applyBorder="1" applyAlignment="1">
      <alignment horizontal="left" vertical="center" shrinkToFit="1"/>
    </xf>
    <xf numFmtId="0" fontId="8" fillId="0" borderId="0" xfId="0" applyFont="1" applyAlignment="1">
      <alignment vertical="top" wrapText="1"/>
    </xf>
    <xf numFmtId="0" fontId="8" fillId="0" borderId="0" xfId="0" applyFont="1" applyAlignment="1">
      <alignment shrinkToFit="1"/>
    </xf>
  </cellXfs>
  <cellStyles count="2">
    <cellStyle name="Hyperlink" xfId="1" builtinId="8"/>
    <cellStyle name="Normal" xfId="0" builtinId="0"/>
  </cellStyles>
  <dxfs count="224">
    <dxf>
      <font>
        <b/>
        <i val="0"/>
      </font>
      <fill>
        <patternFill>
          <bgColor theme="5" tint="0.59996337778862885"/>
        </patternFill>
      </fill>
    </dxf>
    <dxf>
      <font>
        <b/>
        <i val="0"/>
      </font>
      <fill>
        <patternFill>
          <bgColor theme="5" tint="0.59996337778862885"/>
        </patternFill>
      </fill>
    </dxf>
    <dxf>
      <font>
        <color theme="0"/>
      </font>
    </dxf>
    <dxf>
      <font>
        <color theme="0"/>
      </font>
    </dxf>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sqref="A1:C1"/>
    </sheetView>
  </sheetViews>
  <sheetFormatPr defaultRowHeight="15"/>
  <cols>
    <col min="1" max="1" width="9.140625" style="33"/>
    <col min="2" max="2" width="10.42578125" style="33" customWidth="1"/>
    <col min="3" max="3" width="52.85546875" style="33" customWidth="1"/>
    <col min="4" max="16384" width="9.140625" style="33"/>
  </cols>
  <sheetData>
    <row r="1" spans="1:3">
      <c r="A1" s="196" t="s">
        <v>570</v>
      </c>
      <c r="B1" s="196"/>
      <c r="C1" s="196"/>
    </row>
    <row r="2" spans="1:3">
      <c r="A2" s="49" t="s">
        <v>581</v>
      </c>
      <c r="B2" s="2"/>
      <c r="C2" s="2"/>
    </row>
    <row r="3" spans="1:3">
      <c r="A3" s="195" t="s">
        <v>1024</v>
      </c>
      <c r="B3" s="195"/>
      <c r="C3" s="195"/>
    </row>
    <row r="4" spans="1:3">
      <c r="A4" s="195" t="s">
        <v>1028</v>
      </c>
      <c r="B4" s="195"/>
      <c r="C4" s="195"/>
    </row>
    <row r="5" spans="1:3">
      <c r="A5" s="195"/>
      <c r="B5" s="195"/>
      <c r="C5" s="195"/>
    </row>
    <row r="6" spans="1:3" ht="46.5" customHeight="1">
      <c r="A6" s="194" t="s">
        <v>571</v>
      </c>
      <c r="B6" s="194"/>
      <c r="C6" s="194"/>
    </row>
    <row r="7" spans="1:3">
      <c r="A7" s="195"/>
      <c r="B7" s="195"/>
      <c r="C7" s="195"/>
    </row>
    <row r="8" spans="1:3" ht="61.5" customHeight="1">
      <c r="A8" s="194" t="s">
        <v>573</v>
      </c>
      <c r="B8" s="194"/>
      <c r="C8" s="194"/>
    </row>
    <row r="9" spans="1:3" ht="48.75" customHeight="1">
      <c r="A9" s="194" t="s">
        <v>572</v>
      </c>
      <c r="B9" s="194"/>
      <c r="C9" s="194"/>
    </row>
    <row r="10" spans="1:3">
      <c r="A10" s="195"/>
      <c r="B10" s="195"/>
      <c r="C10" s="195"/>
    </row>
    <row r="11" spans="1:3" ht="79.5" customHeight="1">
      <c r="A11" s="194" t="s">
        <v>574</v>
      </c>
      <c r="B11" s="194"/>
      <c r="C11" s="194"/>
    </row>
    <row r="12" spans="1:3">
      <c r="A12" s="195"/>
      <c r="B12" s="195"/>
      <c r="C12" s="195"/>
    </row>
    <row r="13" spans="1:3" ht="77.25" customHeight="1">
      <c r="A13" s="194" t="s">
        <v>1021</v>
      </c>
      <c r="B13" s="194"/>
      <c r="C13" s="194"/>
    </row>
    <row r="14" spans="1:3">
      <c r="A14" s="195"/>
      <c r="B14" s="195"/>
      <c r="C14" s="195"/>
    </row>
    <row r="15" spans="1:3" ht="29.25" customHeight="1">
      <c r="A15" s="194" t="s">
        <v>1022</v>
      </c>
      <c r="B15" s="194"/>
      <c r="C15" s="194"/>
    </row>
    <row r="16" spans="1:3">
      <c r="A16" s="194" t="s">
        <v>1023</v>
      </c>
      <c r="B16" s="194"/>
      <c r="C16" s="194"/>
    </row>
    <row r="17" spans="1:3">
      <c r="A17" s="194"/>
      <c r="B17" s="194"/>
      <c r="C17" s="194"/>
    </row>
    <row r="20" spans="1:3">
      <c r="A20" s="33" t="s">
        <v>575</v>
      </c>
    </row>
    <row r="21" spans="1:3">
      <c r="A21" s="47">
        <v>1</v>
      </c>
      <c r="B21" s="48">
        <v>42536</v>
      </c>
      <c r="C21" s="33" t="s">
        <v>577</v>
      </c>
    </row>
    <row r="22" spans="1:3">
      <c r="A22" s="47" t="s">
        <v>579</v>
      </c>
      <c r="B22" s="48">
        <v>42537</v>
      </c>
      <c r="C22" s="33" t="s">
        <v>576</v>
      </c>
    </row>
    <row r="23" spans="1:3">
      <c r="A23" s="47" t="s">
        <v>580</v>
      </c>
      <c r="B23" s="48">
        <v>42541</v>
      </c>
      <c r="C23" s="33" t="s">
        <v>578</v>
      </c>
    </row>
    <row r="24" spans="1:3">
      <c r="A24" s="47" t="s">
        <v>969</v>
      </c>
      <c r="B24" s="48">
        <v>42542</v>
      </c>
      <c r="C24" s="33" t="s">
        <v>970</v>
      </c>
    </row>
    <row r="25" spans="1:3">
      <c r="A25" s="47" t="s">
        <v>1025</v>
      </c>
      <c r="B25" s="48">
        <v>42558</v>
      </c>
      <c r="C25" s="33" t="s">
        <v>1030</v>
      </c>
    </row>
    <row r="26" spans="1:3">
      <c r="A26" s="47"/>
      <c r="B26" s="48"/>
    </row>
    <row r="27" spans="1:3">
      <c r="A27" s="47"/>
      <c r="B27" s="48"/>
    </row>
    <row r="28" spans="1:3">
      <c r="A28" s="47"/>
      <c r="B28" s="48"/>
    </row>
    <row r="29" spans="1:3">
      <c r="A29" s="47"/>
      <c r="B29" s="48"/>
    </row>
    <row r="30" spans="1:3">
      <c r="A30" s="47"/>
      <c r="B30" s="48"/>
    </row>
    <row r="31" spans="1:3">
      <c r="A31" s="47"/>
      <c r="B31" s="48"/>
    </row>
    <row r="32" spans="1:3">
      <c r="A32" s="47"/>
      <c r="B32" s="48"/>
    </row>
    <row r="33" spans="1:2">
      <c r="A33" s="47"/>
      <c r="B33" s="48"/>
    </row>
    <row r="34" spans="1:2">
      <c r="A34" s="47"/>
      <c r="B34" s="48"/>
    </row>
    <row r="35" spans="1:2">
      <c r="A35" s="47"/>
      <c r="B35" s="48"/>
    </row>
    <row r="36" spans="1:2">
      <c r="A36" s="47"/>
      <c r="B36" s="48"/>
    </row>
    <row r="37" spans="1:2">
      <c r="A37" s="47"/>
      <c r="B37" s="48"/>
    </row>
    <row r="38" spans="1:2">
      <c r="A38" s="47"/>
      <c r="B38" s="48"/>
    </row>
    <row r="39" spans="1:2">
      <c r="A39" s="47"/>
      <c r="B39" s="48"/>
    </row>
    <row r="40" spans="1:2">
      <c r="A40" s="47"/>
      <c r="B40" s="48"/>
    </row>
    <row r="41" spans="1:2">
      <c r="A41" s="47"/>
      <c r="B41" s="48"/>
    </row>
    <row r="42" spans="1:2">
      <c r="B42" s="48"/>
    </row>
    <row r="43" spans="1:2">
      <c r="B43" s="48"/>
    </row>
    <row r="44" spans="1:2">
      <c r="B44" s="48"/>
    </row>
    <row r="45" spans="1:2">
      <c r="B45" s="48"/>
    </row>
    <row r="46" spans="1:2">
      <c r="B46" s="48"/>
    </row>
    <row r="47" spans="1:2">
      <c r="B47" s="48"/>
    </row>
    <row r="48" spans="1:2">
      <c r="B48" s="48"/>
    </row>
  </sheetData>
  <mergeCells count="15">
    <mergeCell ref="A16:C17"/>
    <mergeCell ref="A7:C7"/>
    <mergeCell ref="A1:C1"/>
    <mergeCell ref="A3:C3"/>
    <mergeCell ref="A4:C4"/>
    <mergeCell ref="A5:C5"/>
    <mergeCell ref="A6:C6"/>
    <mergeCell ref="A14:C14"/>
    <mergeCell ref="A15:C15"/>
    <mergeCell ref="A8:C8"/>
    <mergeCell ref="A9:C9"/>
    <mergeCell ref="A10:C10"/>
    <mergeCell ref="A13:C13"/>
    <mergeCell ref="A12:C12"/>
    <mergeCell ref="A11:C11"/>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0"/>
  <sheetViews>
    <sheetView workbookViewId="0">
      <selection activeCell="C2" sqref="C2:H2"/>
    </sheetView>
  </sheetViews>
  <sheetFormatPr defaultRowHeight="15"/>
  <cols>
    <col min="1" max="1" width="2" style="67" customWidth="1"/>
    <col min="2" max="2" width="14" style="67" bestFit="1" customWidth="1"/>
    <col min="3" max="5" width="9.140625" style="67"/>
    <col min="6" max="6" width="11.140625" style="67" customWidth="1"/>
    <col min="7" max="7" width="9.140625" style="67"/>
    <col min="8" max="8" width="11.85546875" style="67" customWidth="1"/>
    <col min="9" max="11" width="9.140625" style="67"/>
    <col min="12" max="12" width="0.85546875" style="139" customWidth="1"/>
    <col min="13" max="13" width="2.7109375" style="149" customWidth="1"/>
    <col min="14" max="16" width="9.140625" style="149"/>
    <col min="17" max="17" width="13.42578125" style="149" customWidth="1"/>
    <col min="18" max="18" width="2.140625" style="68" customWidth="1"/>
    <col min="19" max="43" width="9.5703125" style="69" hidden="1" customWidth="1"/>
    <col min="44" max="44" width="2.28515625" style="70" customWidth="1"/>
    <col min="45" max="45" width="47.28515625" style="181" customWidth="1"/>
    <col min="46" max="46" width="9.140625" style="181"/>
    <col min="47" max="47" width="45" style="69" customWidth="1"/>
    <col min="48" max="16384" width="9.140625" style="69"/>
  </cols>
  <sheetData>
    <row r="1" spans="2:48">
      <c r="R1" s="179" t="s">
        <v>972</v>
      </c>
      <c r="AR1" s="80" t="s">
        <v>973</v>
      </c>
      <c r="AS1" s="181" t="s">
        <v>974</v>
      </c>
      <c r="AU1" s="181"/>
      <c r="AV1" s="181"/>
    </row>
    <row r="2" spans="2:48">
      <c r="B2" s="71" t="s">
        <v>145</v>
      </c>
      <c r="C2" s="203"/>
      <c r="D2" s="205"/>
      <c r="E2" s="205"/>
      <c r="F2" s="205"/>
      <c r="G2" s="205"/>
      <c r="H2" s="204"/>
      <c r="J2" s="101"/>
      <c r="M2" s="148" t="s">
        <v>917</v>
      </c>
      <c r="T2" s="69" t="s">
        <v>915</v>
      </c>
      <c r="AU2" s="181"/>
      <c r="AV2" s="181"/>
    </row>
    <row r="3" spans="2:48">
      <c r="B3" s="71"/>
      <c r="C3" s="71"/>
      <c r="D3" s="71"/>
      <c r="E3" s="71"/>
      <c r="F3" s="71"/>
      <c r="G3" s="71"/>
      <c r="H3" s="71"/>
      <c r="J3" s="101"/>
      <c r="M3" s="201" t="s">
        <v>915</v>
      </c>
      <c r="N3" s="202"/>
      <c r="T3" s="69" t="s">
        <v>916</v>
      </c>
      <c r="AU3" s="181"/>
      <c r="AV3" s="181"/>
    </row>
    <row r="4" spans="2:48">
      <c r="B4" s="71" t="s">
        <v>147</v>
      </c>
      <c r="C4" s="203"/>
      <c r="D4" s="205"/>
      <c r="E4" s="205"/>
      <c r="F4" s="205"/>
      <c r="G4" s="205"/>
      <c r="H4" s="204"/>
      <c r="J4" s="101"/>
      <c r="AU4" s="181"/>
      <c r="AV4" s="181"/>
    </row>
    <row r="5" spans="2:48">
      <c r="AU5" s="181"/>
      <c r="AV5" s="181"/>
    </row>
    <row r="6" spans="2:48">
      <c r="B6" s="71" t="s">
        <v>146</v>
      </c>
      <c r="C6" s="203"/>
      <c r="D6" s="205"/>
      <c r="E6" s="205"/>
      <c r="F6" s="205"/>
      <c r="G6" s="205"/>
      <c r="H6" s="204"/>
      <c r="M6" s="199" t="s">
        <v>918</v>
      </c>
      <c r="N6" s="199"/>
      <c r="O6" s="199"/>
      <c r="P6" s="199"/>
      <c r="AU6" s="181"/>
      <c r="AV6" s="181"/>
    </row>
    <row r="7" spans="2:48">
      <c r="M7" s="200" t="s">
        <v>919</v>
      </c>
      <c r="N7" s="200"/>
      <c r="O7" s="200"/>
      <c r="P7" s="200"/>
      <c r="Q7" s="150"/>
      <c r="AU7" s="181"/>
      <c r="AV7" s="181"/>
    </row>
    <row r="8" spans="2:48" ht="18.75">
      <c r="B8" s="72" t="s">
        <v>107</v>
      </c>
      <c r="F8" s="73" t="s">
        <v>129</v>
      </c>
      <c r="G8" s="74">
        <f>2-SUM(D10:D14)</f>
        <v>2</v>
      </c>
      <c r="M8" s="200"/>
      <c r="N8" s="200"/>
      <c r="O8" s="200"/>
      <c r="P8" s="200"/>
      <c r="Q8" s="150"/>
      <c r="S8" s="75" t="s">
        <v>0</v>
      </c>
      <c r="T8" s="76"/>
      <c r="U8" s="77"/>
      <c r="V8" s="77"/>
      <c r="W8" s="77"/>
      <c r="X8" s="77"/>
      <c r="Y8" s="78"/>
      <c r="AA8" s="75" t="s">
        <v>100</v>
      </c>
      <c r="AB8" s="77"/>
      <c r="AC8" s="78"/>
      <c r="AD8" s="79"/>
      <c r="AF8" s="75" t="s">
        <v>97</v>
      </c>
      <c r="AG8" s="76"/>
      <c r="AH8" s="76"/>
      <c r="AI8" s="77"/>
      <c r="AJ8" s="77"/>
      <c r="AK8" s="77"/>
      <c r="AL8" s="77"/>
      <c r="AM8" s="77"/>
      <c r="AN8" s="77"/>
      <c r="AO8" s="77"/>
      <c r="AP8" s="78"/>
      <c r="AQ8" s="79"/>
      <c r="AR8" s="80" t="s">
        <v>101</v>
      </c>
      <c r="AU8" s="181"/>
      <c r="AV8" s="181"/>
    </row>
    <row r="9" spans="2:48">
      <c r="C9" s="67" t="s">
        <v>108</v>
      </c>
      <c r="D9" s="67" t="s">
        <v>109</v>
      </c>
      <c r="E9" s="67" t="s">
        <v>113</v>
      </c>
      <c r="F9" s="67" t="s">
        <v>110</v>
      </c>
      <c r="N9" s="149" t="s">
        <v>922</v>
      </c>
      <c r="O9" s="149" t="s">
        <v>923</v>
      </c>
      <c r="P9" s="149" t="s">
        <v>110</v>
      </c>
      <c r="S9" s="81" t="s">
        <v>13</v>
      </c>
      <c r="T9" s="82" t="s">
        <v>125</v>
      </c>
      <c r="U9" s="82" t="s">
        <v>126</v>
      </c>
      <c r="V9" s="82" t="s">
        <v>14</v>
      </c>
      <c r="W9" s="82" t="s">
        <v>15</v>
      </c>
      <c r="X9" s="82" t="s">
        <v>91</v>
      </c>
      <c r="Y9" s="83"/>
      <c r="Z9" s="84" t="s">
        <v>101</v>
      </c>
      <c r="AA9" s="81" t="s">
        <v>207</v>
      </c>
      <c r="AB9" s="82" t="s">
        <v>106</v>
      </c>
      <c r="AC9" s="83" t="s">
        <v>104</v>
      </c>
      <c r="AD9" s="85" t="s">
        <v>263</v>
      </c>
      <c r="AF9" s="81" t="s">
        <v>255</v>
      </c>
      <c r="AG9" s="82" t="s">
        <v>208</v>
      </c>
      <c r="AH9" s="82" t="s">
        <v>343</v>
      </c>
      <c r="AI9" s="82" t="s">
        <v>150</v>
      </c>
      <c r="AJ9" s="82" t="s">
        <v>2</v>
      </c>
      <c r="AK9" s="86" t="s">
        <v>101</v>
      </c>
      <c r="AL9" s="82" t="s">
        <v>213</v>
      </c>
      <c r="AM9" s="82" t="s">
        <v>216</v>
      </c>
      <c r="AN9" s="82" t="s">
        <v>220</v>
      </c>
      <c r="AO9" s="82" t="s">
        <v>221</v>
      </c>
      <c r="AP9" s="83" t="s">
        <v>222</v>
      </c>
      <c r="AQ9" s="87" t="s">
        <v>472</v>
      </c>
      <c r="AR9" s="80" t="s">
        <v>101</v>
      </c>
      <c r="AU9" s="181"/>
      <c r="AV9" s="181"/>
    </row>
    <row r="10" spans="2:48">
      <c r="B10" s="67" t="s">
        <v>102</v>
      </c>
      <c r="C10" s="144">
        <v>2</v>
      </c>
      <c r="D10" s="145"/>
      <c r="E10" s="144">
        <f>IF($E$17=B10,1,0)</f>
        <v>0</v>
      </c>
      <c r="F10" s="144">
        <f>SUM(C10:E10)</f>
        <v>2</v>
      </c>
      <c r="N10" s="158"/>
      <c r="O10" s="158"/>
      <c r="P10" s="151">
        <f>F10+N10-O10</f>
        <v>2</v>
      </c>
      <c r="S10" s="81" t="s">
        <v>1</v>
      </c>
      <c r="T10" s="82">
        <f>U10</f>
        <v>1</v>
      </c>
      <c r="U10" s="82">
        <v>1</v>
      </c>
      <c r="V10" s="82"/>
      <c r="W10" s="82"/>
      <c r="X10" s="82"/>
      <c r="Y10" s="83" t="s">
        <v>522</v>
      </c>
      <c r="Z10" s="84" t="s">
        <v>101</v>
      </c>
      <c r="AA10" s="81" t="s">
        <v>208</v>
      </c>
      <c r="AB10" s="82" t="s">
        <v>103</v>
      </c>
      <c r="AC10" s="83" t="s">
        <v>105</v>
      </c>
      <c r="AD10" s="88" t="s">
        <v>708</v>
      </c>
      <c r="AF10" s="81" t="s">
        <v>256</v>
      </c>
      <c r="AG10" s="82" t="s">
        <v>208</v>
      </c>
      <c r="AH10" s="82" t="s">
        <v>344</v>
      </c>
      <c r="AI10" s="82" t="s">
        <v>204</v>
      </c>
      <c r="AJ10" s="82" t="s">
        <v>6</v>
      </c>
      <c r="AK10" s="86" t="s">
        <v>101</v>
      </c>
      <c r="AL10" s="82" t="s">
        <v>94</v>
      </c>
      <c r="AM10" s="82" t="s">
        <v>96</v>
      </c>
      <c r="AN10" s="82" t="s">
        <v>213</v>
      </c>
      <c r="AO10" s="82" t="s">
        <v>216</v>
      </c>
      <c r="AP10" s="83" t="s">
        <v>220</v>
      </c>
      <c r="AQ10" s="87" t="s">
        <v>473</v>
      </c>
      <c r="AR10" s="80" t="s">
        <v>101</v>
      </c>
      <c r="AU10" s="181"/>
      <c r="AV10" s="181"/>
    </row>
    <row r="11" spans="2:48">
      <c r="B11" s="67" t="s">
        <v>103</v>
      </c>
      <c r="C11" s="144">
        <v>2</v>
      </c>
      <c r="D11" s="146"/>
      <c r="E11" s="144">
        <f>IF($E$17=B11,1,0)</f>
        <v>0</v>
      </c>
      <c r="F11" s="144">
        <f t="shared" ref="F11:F14" si="0">SUM(C11:E11)</f>
        <v>2</v>
      </c>
      <c r="N11" s="158"/>
      <c r="O11" s="158"/>
      <c r="P11" s="151">
        <f>F11+N11-O11</f>
        <v>2</v>
      </c>
      <c r="S11" s="81" t="s">
        <v>149</v>
      </c>
      <c r="T11" s="82">
        <f>U11</f>
        <v>4</v>
      </c>
      <c r="U11" s="82">
        <v>4</v>
      </c>
      <c r="V11" s="82"/>
      <c r="W11" s="82"/>
      <c r="X11" s="82">
        <v>1</v>
      </c>
      <c r="Y11" s="83" t="s">
        <v>422</v>
      </c>
      <c r="Z11" s="84" t="s">
        <v>101</v>
      </c>
      <c r="AA11" s="81" t="s">
        <v>136</v>
      </c>
      <c r="AB11" s="82" t="s">
        <v>102</v>
      </c>
      <c r="AC11" s="83" t="s">
        <v>104</v>
      </c>
      <c r="AD11" s="85" t="s">
        <v>709</v>
      </c>
      <c r="AF11" s="81" t="s">
        <v>98</v>
      </c>
      <c r="AG11" s="82" t="s">
        <v>290</v>
      </c>
      <c r="AH11" s="82" t="s">
        <v>304</v>
      </c>
      <c r="AI11" s="82" t="s">
        <v>191</v>
      </c>
      <c r="AJ11" s="82" t="s">
        <v>162</v>
      </c>
      <c r="AK11" s="86" t="s">
        <v>101</v>
      </c>
      <c r="AL11" s="82" t="s">
        <v>94</v>
      </c>
      <c r="AM11" s="82" t="s">
        <v>96</v>
      </c>
      <c r="AN11" s="82" t="s">
        <v>216</v>
      </c>
      <c r="AO11" s="82" t="s">
        <v>220</v>
      </c>
      <c r="AP11" s="83" t="s">
        <v>222</v>
      </c>
      <c r="AQ11" s="87" t="s">
        <v>445</v>
      </c>
      <c r="AR11" s="80" t="s">
        <v>101</v>
      </c>
      <c r="AU11" s="181"/>
      <c r="AV11" s="181"/>
    </row>
    <row r="12" spans="2:48">
      <c r="B12" s="67" t="s">
        <v>104</v>
      </c>
      <c r="C12" s="144">
        <v>2</v>
      </c>
      <c r="D12" s="146"/>
      <c r="E12" s="144">
        <f>IF($E$17=B12,1,0)</f>
        <v>0</v>
      </c>
      <c r="F12" s="144">
        <f t="shared" si="0"/>
        <v>2</v>
      </c>
      <c r="N12" s="158"/>
      <c r="O12" s="158"/>
      <c r="P12" s="151">
        <f>F12+N12-O12</f>
        <v>2</v>
      </c>
      <c r="S12" s="81" t="s">
        <v>150</v>
      </c>
      <c r="T12" s="89" t="str">
        <f>IF($B$17=V12,U12,"NO")</f>
        <v>NO</v>
      </c>
      <c r="U12" s="82">
        <v>4</v>
      </c>
      <c r="V12" s="82" t="s">
        <v>208</v>
      </c>
      <c r="W12" s="82" t="s">
        <v>17</v>
      </c>
      <c r="X12" s="82"/>
      <c r="Y12" s="83" t="s">
        <v>524</v>
      </c>
      <c r="Z12" s="84" t="s">
        <v>101</v>
      </c>
      <c r="AA12" s="81" t="s">
        <v>209</v>
      </c>
      <c r="AB12" s="82" t="s">
        <v>102</v>
      </c>
      <c r="AC12" s="83" t="s">
        <v>103</v>
      </c>
      <c r="AD12" s="85" t="s">
        <v>263</v>
      </c>
      <c r="AF12" s="81" t="s">
        <v>99</v>
      </c>
      <c r="AG12" s="82" t="s">
        <v>290</v>
      </c>
      <c r="AH12" s="82" t="s">
        <v>305</v>
      </c>
      <c r="AI12" s="82" t="s">
        <v>188</v>
      </c>
      <c r="AJ12" s="82" t="s">
        <v>159</v>
      </c>
      <c r="AK12" s="86" t="s">
        <v>101</v>
      </c>
      <c r="AL12" s="82" t="s">
        <v>93</v>
      </c>
      <c r="AM12" s="82" t="s">
        <v>96</v>
      </c>
      <c r="AN12" s="82" t="s">
        <v>213</v>
      </c>
      <c r="AO12" s="82" t="s">
        <v>218</v>
      </c>
      <c r="AP12" s="83" t="s">
        <v>220</v>
      </c>
      <c r="AQ12" s="87" t="s">
        <v>446</v>
      </c>
      <c r="AR12" s="80" t="s">
        <v>101</v>
      </c>
      <c r="AU12" s="181"/>
      <c r="AV12" s="181"/>
    </row>
    <row r="13" spans="2:48">
      <c r="B13" s="67" t="s">
        <v>105</v>
      </c>
      <c r="C13" s="144">
        <v>2</v>
      </c>
      <c r="D13" s="146"/>
      <c r="E13" s="144">
        <f>IF($E$17=B13,1,0)</f>
        <v>0</v>
      </c>
      <c r="F13" s="144">
        <f t="shared" si="0"/>
        <v>2</v>
      </c>
      <c r="N13" s="158"/>
      <c r="O13" s="158"/>
      <c r="P13" s="151">
        <f>F13+N13-O13</f>
        <v>2</v>
      </c>
      <c r="S13" s="81" t="s">
        <v>151</v>
      </c>
      <c r="T13" s="82">
        <f>U13</f>
        <v>3</v>
      </c>
      <c r="U13" s="82">
        <v>3</v>
      </c>
      <c r="V13" s="82"/>
      <c r="W13" s="82"/>
      <c r="X13" s="82"/>
      <c r="Y13" s="83" t="s">
        <v>410</v>
      </c>
      <c r="Z13" s="84" t="s">
        <v>101</v>
      </c>
      <c r="AA13" s="81" t="s">
        <v>210</v>
      </c>
      <c r="AB13" s="82" t="s">
        <v>106</v>
      </c>
      <c r="AC13" s="83" t="s">
        <v>105</v>
      </c>
      <c r="AD13" s="85" t="s">
        <v>263</v>
      </c>
      <c r="AF13" s="81" t="s">
        <v>225</v>
      </c>
      <c r="AG13" s="82" t="s">
        <v>290</v>
      </c>
      <c r="AH13" s="82" t="s">
        <v>306</v>
      </c>
      <c r="AI13" s="82" t="s">
        <v>149</v>
      </c>
      <c r="AJ13" s="82" t="s">
        <v>3</v>
      </c>
      <c r="AK13" s="86" t="s">
        <v>101</v>
      </c>
      <c r="AL13" s="82" t="s">
        <v>93</v>
      </c>
      <c r="AM13" s="82" t="s">
        <v>94</v>
      </c>
      <c r="AN13" s="82" t="s">
        <v>215</v>
      </c>
      <c r="AO13" s="82" t="s">
        <v>218</v>
      </c>
      <c r="AP13" s="83" t="s">
        <v>223</v>
      </c>
      <c r="AQ13" s="87" t="s">
        <v>447</v>
      </c>
      <c r="AR13" s="80" t="s">
        <v>101</v>
      </c>
      <c r="AU13" s="181"/>
      <c r="AV13" s="181"/>
    </row>
    <row r="14" spans="2:48">
      <c r="B14" s="67" t="s">
        <v>106</v>
      </c>
      <c r="C14" s="144">
        <v>2</v>
      </c>
      <c r="D14" s="147"/>
      <c r="E14" s="144">
        <f>IF($E$17=B14,1,0)</f>
        <v>0</v>
      </c>
      <c r="F14" s="144">
        <f t="shared" si="0"/>
        <v>2</v>
      </c>
      <c r="N14" s="158"/>
      <c r="O14" s="158"/>
      <c r="P14" s="151">
        <f>F14+N14-O14</f>
        <v>2</v>
      </c>
      <c r="S14" s="81" t="s">
        <v>152</v>
      </c>
      <c r="T14" s="82">
        <f>U14</f>
        <v>3</v>
      </c>
      <c r="U14" s="82">
        <v>3</v>
      </c>
      <c r="V14" s="82"/>
      <c r="W14" s="82"/>
      <c r="X14" s="82"/>
      <c r="Y14" s="83" t="s">
        <v>527</v>
      </c>
      <c r="Z14" s="84" t="s">
        <v>101</v>
      </c>
      <c r="AA14" s="81" t="s">
        <v>138</v>
      </c>
      <c r="AB14" s="82" t="s">
        <v>103</v>
      </c>
      <c r="AC14" s="83" t="s">
        <v>106</v>
      </c>
      <c r="AD14" s="85" t="s">
        <v>710</v>
      </c>
      <c r="AF14" s="81" t="s">
        <v>226</v>
      </c>
      <c r="AG14" s="82" t="s">
        <v>290</v>
      </c>
      <c r="AH14" s="82" t="s">
        <v>307</v>
      </c>
      <c r="AI14" s="82" t="s">
        <v>182</v>
      </c>
      <c r="AJ14" s="82" t="s">
        <v>164</v>
      </c>
      <c r="AK14" s="86" t="s">
        <v>101</v>
      </c>
      <c r="AL14" s="82" t="s">
        <v>96</v>
      </c>
      <c r="AM14" s="82" t="s">
        <v>213</v>
      </c>
      <c r="AN14" s="82" t="s">
        <v>217</v>
      </c>
      <c r="AO14" s="82" t="s">
        <v>218</v>
      </c>
      <c r="AP14" s="83" t="s">
        <v>221</v>
      </c>
      <c r="AQ14" s="90" t="s">
        <v>433</v>
      </c>
      <c r="AR14" s="80" t="s">
        <v>101</v>
      </c>
      <c r="AU14" s="181"/>
      <c r="AV14" s="181"/>
    </row>
    <row r="15" spans="2:48">
      <c r="M15" s="149" t="s">
        <v>920</v>
      </c>
      <c r="P15" s="152">
        <f>SUM(P10:P14)</f>
        <v>10</v>
      </c>
      <c r="S15" s="81" t="s">
        <v>11</v>
      </c>
      <c r="T15" s="91">
        <f>IF($AC$38=1,W15,U15)</f>
        <v>2</v>
      </c>
      <c r="U15" s="82">
        <v>2</v>
      </c>
      <c r="V15" s="82" t="s">
        <v>16</v>
      </c>
      <c r="W15" s="82">
        <v>1</v>
      </c>
      <c r="X15" s="82"/>
      <c r="Y15" s="83" t="s">
        <v>392</v>
      </c>
      <c r="Z15" s="84" t="s">
        <v>101</v>
      </c>
      <c r="AA15" s="81" t="s">
        <v>211</v>
      </c>
      <c r="AB15" s="82" t="s">
        <v>102</v>
      </c>
      <c r="AC15" s="83" t="s">
        <v>106</v>
      </c>
      <c r="AD15" s="85" t="s">
        <v>711</v>
      </c>
      <c r="AF15" s="81" t="s">
        <v>227</v>
      </c>
      <c r="AG15" s="82" t="s">
        <v>290</v>
      </c>
      <c r="AH15" s="82" t="s">
        <v>308</v>
      </c>
      <c r="AI15" s="82" t="s">
        <v>165</v>
      </c>
      <c r="AJ15" s="82" t="s">
        <v>185</v>
      </c>
      <c r="AK15" s="86" t="s">
        <v>101</v>
      </c>
      <c r="AL15" s="82" t="s">
        <v>94</v>
      </c>
      <c r="AM15" s="82" t="s">
        <v>213</v>
      </c>
      <c r="AN15" s="82" t="s">
        <v>214</v>
      </c>
      <c r="AO15" s="82" t="s">
        <v>215</v>
      </c>
      <c r="AP15" s="83" t="s">
        <v>224</v>
      </c>
      <c r="AQ15" s="87" t="s">
        <v>448</v>
      </c>
      <c r="AR15" s="80" t="s">
        <v>101</v>
      </c>
      <c r="AU15" s="181"/>
      <c r="AV15" s="181"/>
    </row>
    <row r="16" spans="2:48">
      <c r="B16" s="71" t="s">
        <v>111</v>
      </c>
      <c r="E16" s="67" t="s">
        <v>112</v>
      </c>
      <c r="M16" s="149" t="s">
        <v>921</v>
      </c>
      <c r="S16" s="81" t="s">
        <v>153</v>
      </c>
      <c r="T16" s="82">
        <f>U16</f>
        <v>3</v>
      </c>
      <c r="U16" s="82">
        <v>3</v>
      </c>
      <c r="V16" s="82"/>
      <c r="W16" s="82"/>
      <c r="X16" s="82"/>
      <c r="Y16" s="83" t="s">
        <v>411</v>
      </c>
      <c r="Z16" s="84" t="s">
        <v>101</v>
      </c>
      <c r="AA16" s="81" t="s">
        <v>212</v>
      </c>
      <c r="AB16" s="82" t="s">
        <v>104</v>
      </c>
      <c r="AC16" s="83" t="s">
        <v>105</v>
      </c>
      <c r="AD16" s="85" t="s">
        <v>727</v>
      </c>
      <c r="AF16" s="81" t="s">
        <v>264</v>
      </c>
      <c r="AG16" s="82" t="s">
        <v>263</v>
      </c>
      <c r="AH16" s="82" t="s">
        <v>336</v>
      </c>
      <c r="AI16" s="82" t="s">
        <v>11</v>
      </c>
      <c r="AJ16" s="82" t="s">
        <v>206</v>
      </c>
      <c r="AK16" s="82" t="s">
        <v>1</v>
      </c>
      <c r="AL16" s="82" t="s">
        <v>93</v>
      </c>
      <c r="AM16" s="82" t="s">
        <v>96</v>
      </c>
      <c r="AN16" s="82" t="s">
        <v>213</v>
      </c>
      <c r="AO16" s="82" t="s">
        <v>217</v>
      </c>
      <c r="AP16" s="83" t="s">
        <v>218</v>
      </c>
      <c r="AQ16" s="87" t="s">
        <v>465</v>
      </c>
      <c r="AR16" s="80" t="s">
        <v>101</v>
      </c>
      <c r="AU16" s="181"/>
      <c r="AV16" s="181"/>
    </row>
    <row r="17" spans="2:48">
      <c r="B17" s="203"/>
      <c r="C17" s="204"/>
      <c r="E17" s="203"/>
      <c r="F17" s="204"/>
      <c r="S17" s="81" t="s">
        <v>154</v>
      </c>
      <c r="T17" s="82">
        <f>U17</f>
        <v>3</v>
      </c>
      <c r="U17" s="82">
        <v>3</v>
      </c>
      <c r="V17" s="82"/>
      <c r="W17" s="82"/>
      <c r="X17" s="82"/>
      <c r="Y17" s="83" t="s">
        <v>412</v>
      </c>
      <c r="Z17" s="84" t="s">
        <v>101</v>
      </c>
      <c r="AA17" s="81" t="s">
        <v>141</v>
      </c>
      <c r="AB17" s="82" t="s">
        <v>102</v>
      </c>
      <c r="AC17" s="83" t="s">
        <v>105</v>
      </c>
      <c r="AD17" s="88" t="s">
        <v>708</v>
      </c>
      <c r="AF17" s="81" t="s">
        <v>282</v>
      </c>
      <c r="AG17" s="82" t="s">
        <v>141</v>
      </c>
      <c r="AH17" s="82" t="s">
        <v>361</v>
      </c>
      <c r="AI17" s="82" t="s">
        <v>170</v>
      </c>
      <c r="AJ17" s="82" t="s">
        <v>1</v>
      </c>
      <c r="AK17" s="86" t="s">
        <v>101</v>
      </c>
      <c r="AL17" s="82" t="s">
        <v>95</v>
      </c>
      <c r="AM17" s="82" t="s">
        <v>215</v>
      </c>
      <c r="AN17" s="82" t="s">
        <v>219</v>
      </c>
      <c r="AO17" s="82" t="s">
        <v>223</v>
      </c>
      <c r="AP17" s="83" t="s">
        <v>224</v>
      </c>
      <c r="AQ17" s="90" t="s">
        <v>442</v>
      </c>
      <c r="AR17" s="80" t="s">
        <v>101</v>
      </c>
      <c r="AU17" s="181"/>
      <c r="AV17" s="181"/>
    </row>
    <row r="18" spans="2:48">
      <c r="S18" s="81" t="s">
        <v>155</v>
      </c>
      <c r="T18" s="82">
        <f>U18</f>
        <v>3</v>
      </c>
      <c r="U18" s="82">
        <v>3</v>
      </c>
      <c r="V18" s="82"/>
      <c r="W18" s="82"/>
      <c r="X18" s="82"/>
      <c r="Y18" s="83" t="s">
        <v>530</v>
      </c>
      <c r="Z18" s="84" t="s">
        <v>101</v>
      </c>
      <c r="AA18" s="92" t="s">
        <v>142</v>
      </c>
      <c r="AB18" s="93" t="s">
        <v>103</v>
      </c>
      <c r="AC18" s="94" t="s">
        <v>104</v>
      </c>
      <c r="AD18" s="95" t="s">
        <v>712</v>
      </c>
      <c r="AF18" s="81" t="s">
        <v>286</v>
      </c>
      <c r="AG18" s="82" t="s">
        <v>142</v>
      </c>
      <c r="AH18" s="82" t="s">
        <v>365</v>
      </c>
      <c r="AI18" s="82" t="s">
        <v>184</v>
      </c>
      <c r="AJ18" s="82" t="s">
        <v>170</v>
      </c>
      <c r="AK18" s="86" t="s">
        <v>101</v>
      </c>
      <c r="AL18" s="82" t="s">
        <v>94</v>
      </c>
      <c r="AM18" s="82" t="s">
        <v>213</v>
      </c>
      <c r="AN18" s="82" t="s">
        <v>215</v>
      </c>
      <c r="AO18" s="82" t="s">
        <v>216</v>
      </c>
      <c r="AP18" s="83" t="s">
        <v>224</v>
      </c>
      <c r="AQ18" s="87" t="s">
        <v>492</v>
      </c>
      <c r="AR18" s="80" t="s">
        <v>101</v>
      </c>
      <c r="AU18" s="181"/>
      <c r="AV18" s="181"/>
    </row>
    <row r="19" spans="2:48" ht="18.75">
      <c r="B19" s="72" t="s">
        <v>97</v>
      </c>
      <c r="S19" s="81" t="s">
        <v>2</v>
      </c>
      <c r="T19" s="82">
        <f>U19</f>
        <v>1</v>
      </c>
      <c r="U19" s="82">
        <v>1</v>
      </c>
      <c r="V19" s="82"/>
      <c r="W19" s="82"/>
      <c r="X19" s="82"/>
      <c r="Y19" s="83" t="s">
        <v>532</v>
      </c>
      <c r="Z19" s="84" t="s">
        <v>101</v>
      </c>
      <c r="AF19" s="81" t="s">
        <v>228</v>
      </c>
      <c r="AG19" s="82" t="s">
        <v>290</v>
      </c>
      <c r="AH19" s="82" t="s">
        <v>309</v>
      </c>
      <c r="AI19" s="82" t="s">
        <v>154</v>
      </c>
      <c r="AJ19" s="82" t="s">
        <v>171</v>
      </c>
      <c r="AK19" s="86" t="s">
        <v>101</v>
      </c>
      <c r="AL19" s="82" t="s">
        <v>215</v>
      </c>
      <c r="AM19" s="82" t="s">
        <v>216</v>
      </c>
      <c r="AN19" s="82" t="s">
        <v>218</v>
      </c>
      <c r="AO19" s="82" t="s">
        <v>223</v>
      </c>
      <c r="AP19" s="83" t="s">
        <v>224</v>
      </c>
      <c r="AQ19" s="87" t="s">
        <v>449</v>
      </c>
      <c r="AR19" s="80" t="s">
        <v>101</v>
      </c>
      <c r="AU19" s="181"/>
      <c r="AV19" s="181"/>
    </row>
    <row r="20" spans="2:48">
      <c r="S20" s="81" t="s">
        <v>291</v>
      </c>
      <c r="T20" s="96">
        <f>IF($B$17=V20,W20,U20)</f>
        <v>3</v>
      </c>
      <c r="U20" s="82">
        <v>3</v>
      </c>
      <c r="V20" s="82" t="s">
        <v>138</v>
      </c>
      <c r="W20" s="82">
        <v>2</v>
      </c>
      <c r="X20" s="82"/>
      <c r="Y20" s="83" t="s">
        <v>413</v>
      </c>
      <c r="Z20" s="84" t="s">
        <v>101</v>
      </c>
      <c r="AB20" s="75" t="s">
        <v>88</v>
      </c>
      <c r="AC20" s="78"/>
      <c r="AF20" s="81" t="s">
        <v>287</v>
      </c>
      <c r="AG20" s="82" t="s">
        <v>142</v>
      </c>
      <c r="AH20" s="82" t="s">
        <v>366</v>
      </c>
      <c r="AI20" s="82" t="s">
        <v>301</v>
      </c>
      <c r="AJ20" s="82" t="s">
        <v>198</v>
      </c>
      <c r="AK20" s="86" t="s">
        <v>101</v>
      </c>
      <c r="AL20" s="82" t="s">
        <v>96</v>
      </c>
      <c r="AM20" s="82" t="s">
        <v>213</v>
      </c>
      <c r="AN20" s="82" t="s">
        <v>216</v>
      </c>
      <c r="AO20" s="82" t="s">
        <v>218</v>
      </c>
      <c r="AP20" s="83" t="s">
        <v>221</v>
      </c>
      <c r="AQ20" s="90" t="s">
        <v>443</v>
      </c>
      <c r="AR20" s="80" t="s">
        <v>101</v>
      </c>
      <c r="AS20" s="230" t="str">
        <f>IF(B22&lt;&gt;"",B22,"")</f>
        <v/>
      </c>
      <c r="AT20" s="230"/>
      <c r="AU20" s="230"/>
      <c r="AV20" s="230"/>
    </row>
    <row r="21" spans="2:48">
      <c r="B21" s="67" t="s">
        <v>114</v>
      </c>
      <c r="F21" s="67" t="s">
        <v>119</v>
      </c>
      <c r="M21" s="198" t="s">
        <v>925</v>
      </c>
      <c r="N21" s="198"/>
      <c r="O21" s="198"/>
      <c r="P21" s="198"/>
      <c r="Q21" s="198"/>
      <c r="S21" s="81" t="s">
        <v>156</v>
      </c>
      <c r="T21" s="82">
        <f t="shared" ref="T21:T28" si="1">U21</f>
        <v>2</v>
      </c>
      <c r="U21" s="82">
        <v>2</v>
      </c>
      <c r="V21" s="82"/>
      <c r="W21" s="82"/>
      <c r="X21" s="82"/>
      <c r="Y21" s="83" t="s">
        <v>393</v>
      </c>
      <c r="Z21" s="84" t="s">
        <v>101</v>
      </c>
      <c r="AB21" s="81" t="s">
        <v>89</v>
      </c>
      <c r="AC21" s="83"/>
      <c r="AF21" s="81" t="s">
        <v>278</v>
      </c>
      <c r="AG21" s="82" t="s">
        <v>212</v>
      </c>
      <c r="AH21" s="82" t="s">
        <v>357</v>
      </c>
      <c r="AI21" s="82" t="s">
        <v>199</v>
      </c>
      <c r="AJ21" s="82" t="s">
        <v>187</v>
      </c>
      <c r="AK21" s="86" t="s">
        <v>101</v>
      </c>
      <c r="AL21" s="82" t="s">
        <v>95</v>
      </c>
      <c r="AM21" s="82" t="s">
        <v>215</v>
      </c>
      <c r="AN21" s="82" t="s">
        <v>216</v>
      </c>
      <c r="AO21" s="82" t="s">
        <v>218</v>
      </c>
      <c r="AP21" s="83" t="s">
        <v>224</v>
      </c>
      <c r="AQ21" s="87" t="s">
        <v>486</v>
      </c>
      <c r="AR21" s="80" t="s">
        <v>101</v>
      </c>
      <c r="AS21" s="229" t="str">
        <f>IF(B22&lt;&gt;"",print!B30,"")</f>
        <v/>
      </c>
      <c r="AT21" s="229"/>
      <c r="AU21" s="229"/>
      <c r="AV21" s="229"/>
    </row>
    <row r="22" spans="2:48">
      <c r="B22" s="203"/>
      <c r="C22" s="205"/>
      <c r="D22" s="204"/>
      <c r="F22" s="203"/>
      <c r="G22" s="205"/>
      <c r="H22" s="204"/>
      <c r="M22" s="198">
        <f>B22</f>
        <v>0</v>
      </c>
      <c r="N22" s="198"/>
      <c r="O22" s="198"/>
      <c r="P22" s="198"/>
      <c r="S22" s="81" t="s">
        <v>157</v>
      </c>
      <c r="T22" s="82">
        <f t="shared" si="1"/>
        <v>2</v>
      </c>
      <c r="U22" s="82">
        <v>2</v>
      </c>
      <c r="V22" s="82"/>
      <c r="W22" s="82"/>
      <c r="X22" s="82"/>
      <c r="Y22" s="83" t="s">
        <v>394</v>
      </c>
      <c r="Z22" s="84" t="s">
        <v>101</v>
      </c>
      <c r="AB22" s="81" t="s">
        <v>207</v>
      </c>
      <c r="AC22" s="83" t="s">
        <v>134</v>
      </c>
      <c r="AF22" s="81" t="s">
        <v>546</v>
      </c>
      <c r="AG22" s="82" t="s">
        <v>290</v>
      </c>
      <c r="AH22" s="82" t="s">
        <v>310</v>
      </c>
      <c r="AI22" s="82" t="s">
        <v>151</v>
      </c>
      <c r="AJ22" s="82" t="s">
        <v>167</v>
      </c>
      <c r="AK22" s="86" t="s">
        <v>101</v>
      </c>
      <c r="AL22" s="82" t="s">
        <v>213</v>
      </c>
      <c r="AM22" s="82" t="s">
        <v>217</v>
      </c>
      <c r="AN22" s="82" t="s">
        <v>218</v>
      </c>
      <c r="AO22" s="82" t="s">
        <v>221</v>
      </c>
      <c r="AP22" s="83" t="s">
        <v>224</v>
      </c>
      <c r="AQ22" s="87" t="s">
        <v>450</v>
      </c>
      <c r="AR22" s="80" t="s">
        <v>101</v>
      </c>
      <c r="AS22" s="229"/>
      <c r="AT22" s="229"/>
      <c r="AU22" s="229"/>
      <c r="AV22" s="229"/>
    </row>
    <row r="23" spans="2:48">
      <c r="B23" s="71" t="s">
        <v>118</v>
      </c>
      <c r="F23" s="71" t="s">
        <v>118</v>
      </c>
      <c r="N23" s="149" t="s">
        <v>927</v>
      </c>
      <c r="S23" s="81" t="s">
        <v>158</v>
      </c>
      <c r="T23" s="82">
        <f t="shared" si="1"/>
        <v>3</v>
      </c>
      <c r="U23" s="82">
        <v>3</v>
      </c>
      <c r="V23" s="82"/>
      <c r="W23" s="82"/>
      <c r="X23" s="82"/>
      <c r="Y23" s="83" t="s">
        <v>414</v>
      </c>
      <c r="Z23" s="84" t="s">
        <v>101</v>
      </c>
      <c r="AB23" s="81" t="s">
        <v>208</v>
      </c>
      <c r="AC23" s="83" t="s">
        <v>135</v>
      </c>
      <c r="AF23" s="81" t="s">
        <v>229</v>
      </c>
      <c r="AG23" s="82" t="s">
        <v>290</v>
      </c>
      <c r="AH23" s="82" t="s">
        <v>311</v>
      </c>
      <c r="AI23" s="82" t="s">
        <v>178</v>
      </c>
      <c r="AJ23" s="82" t="s">
        <v>169</v>
      </c>
      <c r="AK23" s="86" t="s">
        <v>101</v>
      </c>
      <c r="AL23" s="82" t="s">
        <v>94</v>
      </c>
      <c r="AM23" s="82" t="s">
        <v>96</v>
      </c>
      <c r="AN23" s="82" t="s">
        <v>216</v>
      </c>
      <c r="AO23" s="82" t="s">
        <v>217</v>
      </c>
      <c r="AP23" s="83" t="s">
        <v>220</v>
      </c>
      <c r="AQ23" s="90" t="s">
        <v>434</v>
      </c>
      <c r="AR23" s="80" t="s">
        <v>101</v>
      </c>
      <c r="AS23" s="229"/>
      <c r="AT23" s="229"/>
      <c r="AU23" s="229"/>
      <c r="AV23" s="229"/>
    </row>
    <row r="24" spans="2:48">
      <c r="B24" s="211" t="e">
        <f>VLOOKUP($B$22,$AF$9:$AP$75,3)</f>
        <v>#N/A</v>
      </c>
      <c r="C24" s="211"/>
      <c r="D24" s="211"/>
      <c r="F24" s="211" t="e">
        <f>VLOOKUP($F$22,$AF$9:$AP$75,3)</f>
        <v>#N/A</v>
      </c>
      <c r="G24" s="211"/>
      <c r="H24" s="211"/>
      <c r="N24" s="197"/>
      <c r="O24" s="197"/>
      <c r="P24" s="197"/>
      <c r="S24" s="81" t="s">
        <v>3</v>
      </c>
      <c r="T24" s="82">
        <f t="shared" si="1"/>
        <v>1</v>
      </c>
      <c r="U24" s="82">
        <v>1</v>
      </c>
      <c r="V24" s="82"/>
      <c r="W24" s="82"/>
      <c r="X24" s="82"/>
      <c r="Y24" s="83" t="s">
        <v>536</v>
      </c>
      <c r="Z24" s="84" t="s">
        <v>101</v>
      </c>
      <c r="AB24" s="81" t="s">
        <v>136</v>
      </c>
      <c r="AC24" s="83" t="s">
        <v>136</v>
      </c>
      <c r="AF24" s="81" t="s">
        <v>230</v>
      </c>
      <c r="AG24" s="82" t="s">
        <v>290</v>
      </c>
      <c r="AH24" s="82" t="s">
        <v>312</v>
      </c>
      <c r="AI24" s="82" t="s">
        <v>291</v>
      </c>
      <c r="AJ24" s="82" t="s">
        <v>198</v>
      </c>
      <c r="AK24" s="86" t="s">
        <v>101</v>
      </c>
      <c r="AL24" s="82" t="s">
        <v>94</v>
      </c>
      <c r="AM24" s="82" t="s">
        <v>213</v>
      </c>
      <c r="AN24" s="82" t="s">
        <v>214</v>
      </c>
      <c r="AO24" s="82" t="s">
        <v>215</v>
      </c>
      <c r="AP24" s="83" t="s">
        <v>222</v>
      </c>
      <c r="AQ24" s="87" t="s">
        <v>451</v>
      </c>
      <c r="AR24" s="80" t="s">
        <v>101</v>
      </c>
      <c r="AS24" s="229"/>
      <c r="AT24" s="229"/>
      <c r="AU24" s="229"/>
      <c r="AV24" s="229"/>
    </row>
    <row r="25" spans="2:48">
      <c r="B25" s="211"/>
      <c r="C25" s="211"/>
      <c r="D25" s="211"/>
      <c r="F25" s="211"/>
      <c r="G25" s="211"/>
      <c r="H25" s="211"/>
      <c r="S25" s="81" t="s">
        <v>159</v>
      </c>
      <c r="T25" s="82">
        <f t="shared" si="1"/>
        <v>2</v>
      </c>
      <c r="U25" s="82">
        <v>2</v>
      </c>
      <c r="V25" s="82"/>
      <c r="W25" s="82"/>
      <c r="X25" s="82"/>
      <c r="Y25" s="83" t="s">
        <v>538</v>
      </c>
      <c r="Z25" s="84" t="s">
        <v>101</v>
      </c>
      <c r="AB25" s="81" t="s">
        <v>209</v>
      </c>
      <c r="AC25" s="83" t="s">
        <v>143</v>
      </c>
      <c r="AF25" s="81" t="s">
        <v>257</v>
      </c>
      <c r="AG25" s="82" t="s">
        <v>208</v>
      </c>
      <c r="AH25" s="82" t="s">
        <v>345</v>
      </c>
      <c r="AI25" s="82" t="s">
        <v>165</v>
      </c>
      <c r="AJ25" s="82" t="s">
        <v>159</v>
      </c>
      <c r="AK25" s="86" t="s">
        <v>101</v>
      </c>
      <c r="AL25" s="82" t="s">
        <v>94</v>
      </c>
      <c r="AM25" s="82" t="s">
        <v>213</v>
      </c>
      <c r="AN25" s="82" t="s">
        <v>215</v>
      </c>
      <c r="AO25" s="82" t="s">
        <v>220</v>
      </c>
      <c r="AP25" s="83" t="s">
        <v>224</v>
      </c>
      <c r="AQ25" s="87" t="s">
        <v>474</v>
      </c>
      <c r="AR25" s="80" t="s">
        <v>101</v>
      </c>
      <c r="AU25" s="181"/>
      <c r="AV25" s="181"/>
    </row>
    <row r="26" spans="2:48">
      <c r="B26" s="211"/>
      <c r="C26" s="211"/>
      <c r="D26" s="211"/>
      <c r="F26" s="211"/>
      <c r="G26" s="211"/>
      <c r="H26" s="211"/>
      <c r="M26" s="198">
        <f>F22</f>
        <v>0</v>
      </c>
      <c r="N26" s="198"/>
      <c r="O26" s="198"/>
      <c r="P26" s="198"/>
      <c r="S26" s="81" t="s">
        <v>160</v>
      </c>
      <c r="T26" s="82">
        <f t="shared" si="1"/>
        <v>5</v>
      </c>
      <c r="U26" s="82">
        <v>5</v>
      </c>
      <c r="V26" s="82"/>
      <c r="W26" s="82"/>
      <c r="X26" s="82"/>
      <c r="Y26" s="83" t="s">
        <v>427</v>
      </c>
      <c r="Z26" s="84" t="s">
        <v>101</v>
      </c>
      <c r="AB26" s="81" t="s">
        <v>210</v>
      </c>
      <c r="AC26" s="83" t="s">
        <v>137</v>
      </c>
      <c r="AF26" s="81" t="s">
        <v>231</v>
      </c>
      <c r="AG26" s="82" t="s">
        <v>290</v>
      </c>
      <c r="AH26" s="82" t="s">
        <v>313</v>
      </c>
      <c r="AI26" s="82" t="s">
        <v>179</v>
      </c>
      <c r="AJ26" s="82" t="s">
        <v>10</v>
      </c>
      <c r="AK26" s="86" t="s">
        <v>101</v>
      </c>
      <c r="AL26" s="82" t="s">
        <v>96</v>
      </c>
      <c r="AM26" s="82" t="s">
        <v>213</v>
      </c>
      <c r="AN26" s="82" t="s">
        <v>216</v>
      </c>
      <c r="AO26" s="82" t="s">
        <v>218</v>
      </c>
      <c r="AP26" s="83" t="s">
        <v>220</v>
      </c>
      <c r="AQ26" s="90" t="s">
        <v>435</v>
      </c>
      <c r="AR26" s="80" t="s">
        <v>101</v>
      </c>
      <c r="AS26" s="230" t="str">
        <f>IF(F22&lt;&gt;"",F22,"")</f>
        <v/>
      </c>
      <c r="AT26" s="230"/>
      <c r="AU26" s="230"/>
      <c r="AV26" s="230"/>
    </row>
    <row r="27" spans="2:48">
      <c r="B27" s="211"/>
      <c r="C27" s="211"/>
      <c r="D27" s="211"/>
      <c r="F27" s="211"/>
      <c r="G27" s="211"/>
      <c r="H27" s="211"/>
      <c r="N27" s="149" t="s">
        <v>927</v>
      </c>
      <c r="S27" s="81" t="s">
        <v>161</v>
      </c>
      <c r="T27" s="82">
        <f t="shared" si="1"/>
        <v>3</v>
      </c>
      <c r="U27" s="82">
        <v>3</v>
      </c>
      <c r="V27" s="82"/>
      <c r="W27" s="82"/>
      <c r="X27" s="82"/>
      <c r="Y27" s="83" t="s">
        <v>415</v>
      </c>
      <c r="Z27" s="84" t="s">
        <v>101</v>
      </c>
      <c r="AB27" s="81" t="s">
        <v>138</v>
      </c>
      <c r="AC27" s="83" t="s">
        <v>138</v>
      </c>
      <c r="AF27" s="81" t="s">
        <v>232</v>
      </c>
      <c r="AG27" s="82" t="s">
        <v>290</v>
      </c>
      <c r="AH27" s="82" t="s">
        <v>314</v>
      </c>
      <c r="AI27" s="82" t="s">
        <v>160</v>
      </c>
      <c r="AJ27" s="86" t="s">
        <v>101</v>
      </c>
      <c r="AK27" s="86" t="s">
        <v>101</v>
      </c>
      <c r="AL27" s="82" t="s">
        <v>94</v>
      </c>
      <c r="AM27" s="82" t="s">
        <v>213</v>
      </c>
      <c r="AN27" s="82" t="s">
        <v>215</v>
      </c>
      <c r="AO27" s="82" t="s">
        <v>217</v>
      </c>
      <c r="AP27" s="83" t="s">
        <v>224</v>
      </c>
      <c r="AQ27" s="90" t="s">
        <v>436</v>
      </c>
      <c r="AR27" s="80" t="s">
        <v>101</v>
      </c>
      <c r="AS27" s="229" t="str">
        <f>IF(F22&lt;&gt;"",print!B36,"")</f>
        <v/>
      </c>
      <c r="AT27" s="229"/>
      <c r="AU27" s="229"/>
      <c r="AV27" s="229"/>
    </row>
    <row r="28" spans="2:48">
      <c r="B28" s="97"/>
      <c r="C28" s="97"/>
      <c r="D28" s="97"/>
      <c r="N28" s="197"/>
      <c r="O28" s="197"/>
      <c r="P28" s="197"/>
      <c r="S28" s="81" t="s">
        <v>162</v>
      </c>
      <c r="T28" s="82">
        <f t="shared" si="1"/>
        <v>2</v>
      </c>
      <c r="U28" s="82">
        <v>2</v>
      </c>
      <c r="V28" s="82"/>
      <c r="W28" s="82"/>
      <c r="X28" s="82"/>
      <c r="Y28" s="83" t="s">
        <v>1019</v>
      </c>
      <c r="Z28" s="84" t="s">
        <v>101</v>
      </c>
      <c r="AB28" s="81" t="s">
        <v>211</v>
      </c>
      <c r="AC28" s="83" t="s">
        <v>139</v>
      </c>
      <c r="AF28" s="81" t="s">
        <v>233</v>
      </c>
      <c r="AG28" s="82" t="s">
        <v>290</v>
      </c>
      <c r="AH28" s="82" t="s">
        <v>315</v>
      </c>
      <c r="AI28" s="82" t="s">
        <v>178</v>
      </c>
      <c r="AJ28" s="82" t="s">
        <v>3</v>
      </c>
      <c r="AK28" s="82" t="s">
        <v>10</v>
      </c>
      <c r="AL28" s="82" t="s">
        <v>93</v>
      </c>
      <c r="AM28" s="82" t="s">
        <v>96</v>
      </c>
      <c r="AN28" s="82" t="s">
        <v>218</v>
      </c>
      <c r="AO28" s="82" t="s">
        <v>220</v>
      </c>
      <c r="AP28" s="83" t="s">
        <v>223</v>
      </c>
      <c r="AQ28" s="87" t="s">
        <v>548</v>
      </c>
      <c r="AR28" s="80" t="s">
        <v>101</v>
      </c>
      <c r="AS28" s="229"/>
      <c r="AT28" s="229"/>
      <c r="AU28" s="229"/>
      <c r="AV28" s="229"/>
    </row>
    <row r="29" spans="2:48">
      <c r="B29" s="71" t="s">
        <v>124</v>
      </c>
      <c r="E29" s="71" t="s">
        <v>124</v>
      </c>
      <c r="H29" s="71" t="s">
        <v>128</v>
      </c>
      <c r="S29" s="81" t="s">
        <v>163</v>
      </c>
      <c r="T29" s="96">
        <f>IF($B$17=V29,W29,U29)</f>
        <v>2</v>
      </c>
      <c r="U29" s="82">
        <v>2</v>
      </c>
      <c r="V29" s="82" t="s">
        <v>212</v>
      </c>
      <c r="W29" s="82">
        <v>1</v>
      </c>
      <c r="X29" s="82"/>
      <c r="Y29" s="83" t="s">
        <v>395</v>
      </c>
      <c r="Z29" s="84" t="s">
        <v>101</v>
      </c>
      <c r="AB29" s="81" t="s">
        <v>212</v>
      </c>
      <c r="AC29" s="83" t="s">
        <v>140</v>
      </c>
      <c r="AF29" s="81" t="s">
        <v>288</v>
      </c>
      <c r="AG29" s="82" t="s">
        <v>142</v>
      </c>
      <c r="AH29" s="82" t="s">
        <v>549</v>
      </c>
      <c r="AI29" s="82" t="s">
        <v>176</v>
      </c>
      <c r="AJ29" s="82" t="s">
        <v>6</v>
      </c>
      <c r="AK29" s="86" t="s">
        <v>101</v>
      </c>
      <c r="AL29" s="82" t="s">
        <v>96</v>
      </c>
      <c r="AM29" s="82" t="s">
        <v>213</v>
      </c>
      <c r="AN29" s="82" t="s">
        <v>215</v>
      </c>
      <c r="AO29" s="82" t="s">
        <v>219</v>
      </c>
      <c r="AP29" s="83" t="s">
        <v>221</v>
      </c>
      <c r="AQ29" s="90" t="s">
        <v>444</v>
      </c>
      <c r="AR29" s="80" t="s">
        <v>101</v>
      </c>
      <c r="AS29" s="229"/>
      <c r="AT29" s="229"/>
      <c r="AU29" s="229"/>
      <c r="AV29" s="229"/>
    </row>
    <row r="30" spans="2:48">
      <c r="B30" s="67" t="e">
        <f>VLOOKUP($B$22,$AF$9:$AP$75,4)</f>
        <v>#N/A</v>
      </c>
      <c r="E30" s="67" t="e">
        <f>VLOOKUP($F$22,$AF$9:$AP$75,4)</f>
        <v>#N/A</v>
      </c>
      <c r="H30" s="67" t="e">
        <f>AC34+AC35+AC36</f>
        <v>#N/A</v>
      </c>
      <c r="S30" s="81" t="s">
        <v>164</v>
      </c>
      <c r="T30" s="82">
        <f t="shared" ref="T30:T37" si="2">U30</f>
        <v>2</v>
      </c>
      <c r="U30" s="82">
        <v>2</v>
      </c>
      <c r="V30" s="82"/>
      <c r="W30" s="82"/>
      <c r="X30" s="82"/>
      <c r="Y30" s="83" t="s">
        <v>542</v>
      </c>
      <c r="Z30" s="84" t="s">
        <v>101</v>
      </c>
      <c r="AB30" s="81" t="s">
        <v>141</v>
      </c>
      <c r="AC30" s="83" t="s">
        <v>141</v>
      </c>
      <c r="AF30" s="81" t="s">
        <v>234</v>
      </c>
      <c r="AG30" s="82" t="s">
        <v>290</v>
      </c>
      <c r="AH30" s="82" t="s">
        <v>316</v>
      </c>
      <c r="AI30" s="82" t="s">
        <v>186</v>
      </c>
      <c r="AJ30" s="82" t="s">
        <v>190</v>
      </c>
      <c r="AK30" s="86" t="s">
        <v>101</v>
      </c>
      <c r="AL30" s="82" t="s">
        <v>94</v>
      </c>
      <c r="AM30" s="82" t="s">
        <v>96</v>
      </c>
      <c r="AN30" s="82" t="s">
        <v>213</v>
      </c>
      <c r="AO30" s="82" t="s">
        <v>218</v>
      </c>
      <c r="AP30" s="83" t="s">
        <v>219</v>
      </c>
      <c r="AQ30" s="90" t="s">
        <v>550</v>
      </c>
      <c r="AR30" s="80" t="s">
        <v>101</v>
      </c>
      <c r="AS30" s="229"/>
      <c r="AT30" s="229"/>
      <c r="AU30" s="229"/>
      <c r="AV30" s="229"/>
    </row>
    <row r="31" spans="2:48">
      <c r="B31" s="67" t="e">
        <f>VLOOKUP($B$22,$AF$9:$AP$75,5)</f>
        <v>#N/A</v>
      </c>
      <c r="E31" s="67" t="e">
        <f>VLOOKUP($F$22,$AF$9:$AP$75,5)</f>
        <v>#N/A</v>
      </c>
      <c r="S31" s="81" t="s">
        <v>165</v>
      </c>
      <c r="T31" s="82">
        <f t="shared" si="2"/>
        <v>3</v>
      </c>
      <c r="U31" s="82">
        <v>3</v>
      </c>
      <c r="V31" s="82"/>
      <c r="W31" s="82"/>
      <c r="X31" s="82"/>
      <c r="Y31" s="83" t="s">
        <v>416</v>
      </c>
      <c r="Z31" s="84" t="s">
        <v>101</v>
      </c>
      <c r="AB31" s="92" t="s">
        <v>142</v>
      </c>
      <c r="AC31" s="94" t="s">
        <v>142</v>
      </c>
      <c r="AF31" s="81" t="s">
        <v>235</v>
      </c>
      <c r="AG31" s="82" t="s">
        <v>290</v>
      </c>
      <c r="AH31" s="82" t="s">
        <v>317</v>
      </c>
      <c r="AI31" s="82" t="s">
        <v>175</v>
      </c>
      <c r="AJ31" s="82" t="s">
        <v>9</v>
      </c>
      <c r="AK31" s="86" t="s">
        <v>101</v>
      </c>
      <c r="AL31" s="82" t="s">
        <v>94</v>
      </c>
      <c r="AM31" s="82" t="s">
        <v>96</v>
      </c>
      <c r="AN31" s="82" t="s">
        <v>213</v>
      </c>
      <c r="AO31" s="82" t="s">
        <v>217</v>
      </c>
      <c r="AP31" s="83" t="s">
        <v>218</v>
      </c>
      <c r="AQ31" s="87" t="s">
        <v>452</v>
      </c>
      <c r="AR31" s="80" t="s">
        <v>101</v>
      </c>
      <c r="AU31" s="181"/>
      <c r="AV31" s="181"/>
    </row>
    <row r="32" spans="2:48">
      <c r="B32" s="67" t="e">
        <f>VLOOKUP($B$22,$AF$9:$AP$75,6)</f>
        <v>#N/A</v>
      </c>
      <c r="E32" s="67" t="e">
        <f>VLOOKUP($F$22,$AF$9:$AP$75,6)</f>
        <v>#N/A</v>
      </c>
      <c r="S32" s="81" t="s">
        <v>4</v>
      </c>
      <c r="T32" s="82">
        <f t="shared" si="2"/>
        <v>1</v>
      </c>
      <c r="U32" s="82">
        <v>1</v>
      </c>
      <c r="V32" s="82"/>
      <c r="W32" s="82"/>
      <c r="X32" s="82">
        <v>1</v>
      </c>
      <c r="Y32" s="83" t="s">
        <v>543</v>
      </c>
      <c r="Z32" s="84" t="s">
        <v>101</v>
      </c>
      <c r="AF32" s="81" t="s">
        <v>283</v>
      </c>
      <c r="AG32" s="82" t="s">
        <v>141</v>
      </c>
      <c r="AH32" s="82" t="s">
        <v>362</v>
      </c>
      <c r="AI32" s="82" t="s">
        <v>178</v>
      </c>
      <c r="AJ32" s="82" t="s">
        <v>188</v>
      </c>
      <c r="AK32" s="86" t="s">
        <v>101</v>
      </c>
      <c r="AL32" s="82" t="s">
        <v>96</v>
      </c>
      <c r="AM32" s="82" t="s">
        <v>213</v>
      </c>
      <c r="AN32" s="82" t="s">
        <v>218</v>
      </c>
      <c r="AO32" s="82" t="s">
        <v>220</v>
      </c>
      <c r="AP32" s="83" t="s">
        <v>221</v>
      </c>
      <c r="AQ32" s="87" t="s">
        <v>490</v>
      </c>
      <c r="AR32" s="80" t="s">
        <v>101</v>
      </c>
      <c r="AU32" s="181"/>
      <c r="AV32" s="181"/>
    </row>
    <row r="33" spans="2:48">
      <c r="S33" s="81" t="s">
        <v>166</v>
      </c>
      <c r="T33" s="82">
        <f t="shared" si="2"/>
        <v>3</v>
      </c>
      <c r="U33" s="82">
        <v>3</v>
      </c>
      <c r="V33" s="82"/>
      <c r="W33" s="82"/>
      <c r="X33" s="82"/>
      <c r="Y33" s="83" t="s">
        <v>417</v>
      </c>
      <c r="Z33" s="84" t="s">
        <v>101</v>
      </c>
      <c r="AB33" s="69" t="s">
        <v>127</v>
      </c>
      <c r="AF33" s="81" t="s">
        <v>259</v>
      </c>
      <c r="AG33" s="82" t="s">
        <v>136</v>
      </c>
      <c r="AH33" s="82" t="s">
        <v>347</v>
      </c>
      <c r="AI33" s="82" t="s">
        <v>194</v>
      </c>
      <c r="AJ33" s="82" t="s">
        <v>194</v>
      </c>
      <c r="AK33" s="82" t="s">
        <v>2</v>
      </c>
      <c r="AL33" s="82" t="s">
        <v>94</v>
      </c>
      <c r="AM33" s="82" t="s">
        <v>215</v>
      </c>
      <c r="AN33" s="82" t="s">
        <v>216</v>
      </c>
      <c r="AO33" s="82" t="s">
        <v>221</v>
      </c>
      <c r="AP33" s="83" t="s">
        <v>224</v>
      </c>
      <c r="AQ33" s="90" t="s">
        <v>441</v>
      </c>
      <c r="AR33" s="80" t="s">
        <v>101</v>
      </c>
      <c r="AS33" s="216" t="s">
        <v>991</v>
      </c>
      <c r="AT33" s="216"/>
      <c r="AU33" s="216"/>
      <c r="AV33" s="216"/>
    </row>
    <row r="34" spans="2:48">
      <c r="B34" s="71" t="s">
        <v>120</v>
      </c>
      <c r="E34" s="71" t="s">
        <v>120</v>
      </c>
      <c r="S34" s="81" t="s">
        <v>167</v>
      </c>
      <c r="T34" s="82">
        <f t="shared" si="2"/>
        <v>2</v>
      </c>
      <c r="U34" s="82">
        <v>2</v>
      </c>
      <c r="V34" s="82"/>
      <c r="W34" s="82"/>
      <c r="X34" s="82"/>
      <c r="Y34" s="83" t="s">
        <v>396</v>
      </c>
      <c r="Z34" s="84" t="s">
        <v>101</v>
      </c>
      <c r="AB34" s="69" t="e">
        <f>IF(OR(B30=E30,B31=E30,B32=E30),E30,0)</f>
        <v>#N/A</v>
      </c>
      <c r="AC34" s="69" t="e">
        <f>IF(AB34&lt;&gt;0,VLOOKUP(AB34,$S$10:$T$85,2),0)</f>
        <v>#N/A</v>
      </c>
      <c r="AF34" s="81" t="s">
        <v>236</v>
      </c>
      <c r="AG34" s="82" t="s">
        <v>290</v>
      </c>
      <c r="AH34" s="82" t="s">
        <v>318</v>
      </c>
      <c r="AI34" s="82" t="s">
        <v>193</v>
      </c>
      <c r="AJ34" s="82" t="s">
        <v>168</v>
      </c>
      <c r="AK34" s="86" t="s">
        <v>101</v>
      </c>
      <c r="AL34" s="82" t="s">
        <v>93</v>
      </c>
      <c r="AM34" s="82" t="s">
        <v>214</v>
      </c>
      <c r="AN34" s="82" t="s">
        <v>215</v>
      </c>
      <c r="AO34" s="82" t="s">
        <v>216</v>
      </c>
      <c r="AP34" s="83" t="s">
        <v>218</v>
      </c>
      <c r="AQ34" s="87" t="s">
        <v>453</v>
      </c>
      <c r="AR34" s="80" t="s">
        <v>101</v>
      </c>
      <c r="AS34" s="216"/>
      <c r="AT34" s="216"/>
      <c r="AU34" s="216"/>
      <c r="AV34" s="216"/>
    </row>
    <row r="35" spans="2:48" ht="15" customHeight="1">
      <c r="B35" s="67" t="e">
        <f>VLOOKUP($B$22,$AF$9:$AP$75,7)</f>
        <v>#N/A</v>
      </c>
      <c r="E35" s="67" t="e">
        <f>VLOOKUP($F$22,$AF$9:$AP$75,7)</f>
        <v>#N/A</v>
      </c>
      <c r="S35" s="81" t="s">
        <v>168</v>
      </c>
      <c r="T35" s="82">
        <f t="shared" si="2"/>
        <v>2</v>
      </c>
      <c r="U35" s="82">
        <v>2</v>
      </c>
      <c r="V35" s="82"/>
      <c r="W35" s="82"/>
      <c r="X35" s="82"/>
      <c r="Y35" s="83" t="s">
        <v>397</v>
      </c>
      <c r="Z35" s="84" t="s">
        <v>101</v>
      </c>
      <c r="AB35" s="69" t="e">
        <f>IF(OR(B31=E31,B32=E31,B30=E31),E31,0)</f>
        <v>#N/A</v>
      </c>
      <c r="AC35" s="69" t="e">
        <f>IF(AB35&lt;&gt;0,VLOOKUP(AB35,$S$10:$T$85,2),0)</f>
        <v>#N/A</v>
      </c>
      <c r="AF35" s="81" t="s">
        <v>237</v>
      </c>
      <c r="AG35" s="82" t="s">
        <v>290</v>
      </c>
      <c r="AH35" s="82" t="s">
        <v>319</v>
      </c>
      <c r="AI35" s="82" t="s">
        <v>161</v>
      </c>
      <c r="AJ35" s="82" t="s">
        <v>156</v>
      </c>
      <c r="AK35" s="86" t="s">
        <v>101</v>
      </c>
      <c r="AL35" s="82" t="s">
        <v>93</v>
      </c>
      <c r="AM35" s="82" t="s">
        <v>94</v>
      </c>
      <c r="AN35" s="82" t="s">
        <v>213</v>
      </c>
      <c r="AO35" s="82" t="s">
        <v>217</v>
      </c>
      <c r="AP35" s="83" t="s">
        <v>221</v>
      </c>
      <c r="AQ35" s="90" t="s">
        <v>552</v>
      </c>
      <c r="AR35" s="80" t="s">
        <v>101</v>
      </c>
      <c r="AS35" s="216" t="s">
        <v>992</v>
      </c>
      <c r="AT35" s="216"/>
      <c r="AU35" s="216"/>
      <c r="AV35" s="216"/>
    </row>
    <row r="36" spans="2:48">
      <c r="B36" s="67" t="e">
        <f>VLOOKUP($B$22,$AF$9:$AP$75,8)</f>
        <v>#N/A</v>
      </c>
      <c r="E36" s="67" t="e">
        <f>VLOOKUP($F$22,$AF$9:$AP$75,8)</f>
        <v>#N/A</v>
      </c>
      <c r="S36" s="81" t="s">
        <v>169</v>
      </c>
      <c r="T36" s="82">
        <f t="shared" si="2"/>
        <v>2</v>
      </c>
      <c r="U36" s="82">
        <v>2</v>
      </c>
      <c r="V36" s="82"/>
      <c r="W36" s="82"/>
      <c r="X36" s="82"/>
      <c r="Y36" s="69" t="s">
        <v>544</v>
      </c>
      <c r="Z36" s="84" t="s">
        <v>101</v>
      </c>
      <c r="AB36" s="69" t="e">
        <f>IF(E32="",0,IF(OR(B32=E32,B30=E32,B31=E32),E32,0))</f>
        <v>#N/A</v>
      </c>
      <c r="AC36" s="69" t="e">
        <f>IF(AB36&lt;&gt;0,VLOOKUP(AB36,$S$10:$T$85,2),0)</f>
        <v>#N/A</v>
      </c>
      <c r="AF36" s="81" t="s">
        <v>265</v>
      </c>
      <c r="AG36" s="82" t="s">
        <v>263</v>
      </c>
      <c r="AH36" s="82" t="s">
        <v>337</v>
      </c>
      <c r="AI36" s="82" t="s">
        <v>194</v>
      </c>
      <c r="AJ36" s="82" t="s">
        <v>194</v>
      </c>
      <c r="AK36" s="82" t="s">
        <v>3</v>
      </c>
      <c r="AL36" s="82" t="s">
        <v>95</v>
      </c>
      <c r="AM36" s="82" t="s">
        <v>215</v>
      </c>
      <c r="AN36" s="82" t="s">
        <v>218</v>
      </c>
      <c r="AO36" s="82" t="s">
        <v>223</v>
      </c>
      <c r="AP36" s="83" t="s">
        <v>224</v>
      </c>
      <c r="AQ36" s="87" t="s">
        <v>466</v>
      </c>
      <c r="AR36" s="80" t="s">
        <v>101</v>
      </c>
      <c r="AS36" s="216"/>
      <c r="AT36" s="216"/>
      <c r="AU36" s="216"/>
      <c r="AV36" s="216"/>
    </row>
    <row r="37" spans="2:48" ht="15" customHeight="1">
      <c r="B37" s="67" t="e">
        <f>VLOOKUP($B$22,$AF$9:$AP$75,9)</f>
        <v>#N/A</v>
      </c>
      <c r="E37" s="67" t="e">
        <f>VLOOKUP($F$22,$AF$9:$AP$75,9)</f>
        <v>#N/A</v>
      </c>
      <c r="S37" s="81" t="s">
        <v>170</v>
      </c>
      <c r="T37" s="82">
        <f t="shared" si="2"/>
        <v>4</v>
      </c>
      <c r="U37" s="82">
        <v>4</v>
      </c>
      <c r="V37" s="82"/>
      <c r="W37" s="82"/>
      <c r="X37" s="82"/>
      <c r="Y37" s="83" t="s">
        <v>545</v>
      </c>
      <c r="Z37" s="84" t="s">
        <v>101</v>
      </c>
      <c r="AF37" s="81" t="s">
        <v>260</v>
      </c>
      <c r="AG37" s="82" t="s">
        <v>136</v>
      </c>
      <c r="AH37" s="82" t="s">
        <v>348</v>
      </c>
      <c r="AI37" s="82" t="s">
        <v>197</v>
      </c>
      <c r="AJ37" s="82" t="s">
        <v>149</v>
      </c>
      <c r="AK37" s="86" t="s">
        <v>101</v>
      </c>
      <c r="AL37" s="82" t="s">
        <v>93</v>
      </c>
      <c r="AM37" s="82" t="s">
        <v>94</v>
      </c>
      <c r="AN37" s="82" t="s">
        <v>218</v>
      </c>
      <c r="AO37" s="82" t="s">
        <v>223</v>
      </c>
      <c r="AP37" s="83" t="s">
        <v>224</v>
      </c>
      <c r="AQ37" s="87" t="s">
        <v>553</v>
      </c>
      <c r="AR37" s="80" t="s">
        <v>101</v>
      </c>
      <c r="AS37" s="216" t="s">
        <v>993</v>
      </c>
      <c r="AT37" s="216"/>
      <c r="AU37" s="216"/>
      <c r="AV37" s="216"/>
    </row>
    <row r="38" spans="2:48">
      <c r="B38" s="67" t="e">
        <f>VLOOKUP($B$22,$AF$9:$AP$75,10)</f>
        <v>#N/A</v>
      </c>
      <c r="E38" s="67" t="e">
        <f>VLOOKUP($F$22,$AF$9:$AP$75,10)</f>
        <v>#N/A</v>
      </c>
      <c r="S38" s="81" t="s">
        <v>302</v>
      </c>
      <c r="T38" s="96">
        <f>IF($B$17=V38,W38,U38)</f>
        <v>5</v>
      </c>
      <c r="U38" s="82">
        <v>5</v>
      </c>
      <c r="V38" s="82" t="s">
        <v>136</v>
      </c>
      <c r="W38" s="82">
        <v>3</v>
      </c>
      <c r="X38" s="82"/>
      <c r="Y38" s="83" t="s">
        <v>547</v>
      </c>
      <c r="Z38" s="84" t="s">
        <v>101</v>
      </c>
      <c r="AB38" s="69" t="s">
        <v>117</v>
      </c>
      <c r="AC38" s="69">
        <f>IF(OR($B$17=AA13,$B$17=AA9,$B$17=AA12),1,0)</f>
        <v>0</v>
      </c>
      <c r="AF38" s="81" t="s">
        <v>270</v>
      </c>
      <c r="AG38" s="82" t="s">
        <v>138</v>
      </c>
      <c r="AH38" s="82" t="s">
        <v>351</v>
      </c>
      <c r="AI38" s="82" t="s">
        <v>157</v>
      </c>
      <c r="AJ38" s="82" t="s">
        <v>167</v>
      </c>
      <c r="AK38" s="82" t="s">
        <v>6</v>
      </c>
      <c r="AL38" s="82" t="s">
        <v>96</v>
      </c>
      <c r="AM38" s="82" t="s">
        <v>217</v>
      </c>
      <c r="AN38" s="82" t="s">
        <v>218</v>
      </c>
      <c r="AO38" s="82" t="s">
        <v>221</v>
      </c>
      <c r="AP38" s="83" t="s">
        <v>224</v>
      </c>
      <c r="AQ38" s="87" t="s">
        <v>478</v>
      </c>
      <c r="AR38" s="80" t="s">
        <v>101</v>
      </c>
      <c r="AS38" s="216"/>
      <c r="AT38" s="216"/>
      <c r="AU38" s="216"/>
      <c r="AV38" s="216"/>
    </row>
    <row r="39" spans="2:48">
      <c r="B39" s="67" t="e">
        <f>VLOOKUP($B$22,$AF$9:$AP$75,11)</f>
        <v>#N/A</v>
      </c>
      <c r="E39" s="67" t="e">
        <f>VLOOKUP($F$22,$AF$9:$AP$75,11)</f>
        <v>#N/A</v>
      </c>
      <c r="S39" s="81" t="s">
        <v>303</v>
      </c>
      <c r="T39" s="96">
        <f>IF($B$17=V39,W39,U39)</f>
        <v>5</v>
      </c>
      <c r="U39" s="82">
        <v>5</v>
      </c>
      <c r="V39" s="82" t="s">
        <v>141</v>
      </c>
      <c r="W39" s="82">
        <v>3</v>
      </c>
      <c r="X39" s="82"/>
      <c r="Y39" s="83" t="s">
        <v>428</v>
      </c>
      <c r="Z39" s="84" t="s">
        <v>101</v>
      </c>
      <c r="AB39" s="69" t="s">
        <v>115</v>
      </c>
      <c r="AC39" s="69" t="e">
        <f>VLOOKUP($B$17,$AA$9:$AC$18,2)</f>
        <v>#N/A</v>
      </c>
      <c r="AF39" s="81" t="s">
        <v>238</v>
      </c>
      <c r="AG39" s="82" t="s">
        <v>290</v>
      </c>
      <c r="AH39" s="82" t="s">
        <v>320</v>
      </c>
      <c r="AI39" s="82" t="s">
        <v>170</v>
      </c>
      <c r="AJ39" s="82" t="s">
        <v>2</v>
      </c>
      <c r="AK39" s="86" t="s">
        <v>101</v>
      </c>
      <c r="AL39" s="82" t="s">
        <v>94</v>
      </c>
      <c r="AM39" s="82" t="s">
        <v>95</v>
      </c>
      <c r="AN39" s="82" t="s">
        <v>215</v>
      </c>
      <c r="AO39" s="82" t="s">
        <v>216</v>
      </c>
      <c r="AP39" s="83" t="s">
        <v>224</v>
      </c>
      <c r="AQ39" s="90" t="s">
        <v>437</v>
      </c>
      <c r="AR39" s="80" t="s">
        <v>101</v>
      </c>
      <c r="AS39" s="216" t="s">
        <v>994</v>
      </c>
      <c r="AT39" s="216"/>
      <c r="AU39" s="216"/>
      <c r="AV39" s="216"/>
    </row>
    <row r="40" spans="2:48">
      <c r="M40" s="198" t="s">
        <v>924</v>
      </c>
      <c r="N40" s="198"/>
      <c r="O40" s="198"/>
      <c r="P40" s="198"/>
      <c r="Q40" s="198"/>
      <c r="S40" s="81" t="s">
        <v>171</v>
      </c>
      <c r="T40" s="82">
        <f>U40</f>
        <v>2</v>
      </c>
      <c r="U40" s="82">
        <v>2</v>
      </c>
      <c r="V40" s="82"/>
      <c r="W40" s="82"/>
      <c r="X40" s="82"/>
      <c r="Y40" s="83" t="s">
        <v>398</v>
      </c>
      <c r="Z40" s="84" t="s">
        <v>101</v>
      </c>
      <c r="AB40" s="69" t="s">
        <v>115</v>
      </c>
      <c r="AC40" s="69" t="e">
        <f>VLOOKUP($B$17,$AA$9:$AC$18,3)</f>
        <v>#N/A</v>
      </c>
      <c r="AF40" s="81" t="s">
        <v>239</v>
      </c>
      <c r="AG40" s="82" t="s">
        <v>290</v>
      </c>
      <c r="AH40" s="82" t="s">
        <v>321</v>
      </c>
      <c r="AI40" s="82" t="s">
        <v>176</v>
      </c>
      <c r="AJ40" s="82" t="s">
        <v>10</v>
      </c>
      <c r="AK40" s="86" t="s">
        <v>101</v>
      </c>
      <c r="AL40" s="82" t="s">
        <v>96</v>
      </c>
      <c r="AM40" s="82" t="s">
        <v>213</v>
      </c>
      <c r="AN40" s="82" t="s">
        <v>215</v>
      </c>
      <c r="AO40" s="82" t="s">
        <v>218</v>
      </c>
      <c r="AP40" s="83" t="s">
        <v>221</v>
      </c>
      <c r="AQ40" s="87" t="s">
        <v>454</v>
      </c>
      <c r="AR40" s="80" t="s">
        <v>101</v>
      </c>
      <c r="AS40" s="216"/>
      <c r="AT40" s="216"/>
      <c r="AU40" s="216"/>
      <c r="AV40" s="216"/>
    </row>
    <row r="41" spans="2:48" ht="18.75">
      <c r="B41" s="72" t="s">
        <v>92</v>
      </c>
      <c r="C41" s="67" t="s">
        <v>121</v>
      </c>
      <c r="D41" s="67" t="s">
        <v>122</v>
      </c>
      <c r="E41" s="67" t="s">
        <v>123</v>
      </c>
      <c r="F41" s="73" t="s">
        <v>129</v>
      </c>
      <c r="G41" s="74">
        <f>10-SUM(D42:D57)</f>
        <v>10</v>
      </c>
      <c r="N41" s="149" t="s">
        <v>122</v>
      </c>
      <c r="O41" s="149" t="s">
        <v>110</v>
      </c>
      <c r="S41" s="81" t="s">
        <v>172</v>
      </c>
      <c r="T41" s="82">
        <f>U41</f>
        <v>2</v>
      </c>
      <c r="U41" s="82">
        <v>2</v>
      </c>
      <c r="V41" s="82"/>
      <c r="W41" s="82"/>
      <c r="X41" s="82"/>
      <c r="Y41" s="83" t="s">
        <v>1029</v>
      </c>
      <c r="Z41" s="84" t="s">
        <v>101</v>
      </c>
      <c r="AF41" s="81" t="s">
        <v>258</v>
      </c>
      <c r="AG41" s="82" t="s">
        <v>208</v>
      </c>
      <c r="AH41" s="82" t="s">
        <v>346</v>
      </c>
      <c r="AI41" s="82" t="s">
        <v>181</v>
      </c>
      <c r="AJ41" s="82" t="s">
        <v>195</v>
      </c>
      <c r="AK41" s="86" t="s">
        <v>101</v>
      </c>
      <c r="AL41" s="82" t="s">
        <v>96</v>
      </c>
      <c r="AM41" s="82" t="s">
        <v>213</v>
      </c>
      <c r="AN41" s="82" t="s">
        <v>217</v>
      </c>
      <c r="AO41" s="82" t="s">
        <v>218</v>
      </c>
      <c r="AP41" s="83" t="s">
        <v>220</v>
      </c>
      <c r="AQ41" s="87" t="s">
        <v>475</v>
      </c>
      <c r="AR41" s="80" t="s">
        <v>101</v>
      </c>
      <c r="AS41" s="216" t="s">
        <v>995</v>
      </c>
      <c r="AT41" s="216"/>
      <c r="AU41" s="216"/>
      <c r="AV41" s="216"/>
    </row>
    <row r="42" spans="2:48">
      <c r="B42" s="98" t="s">
        <v>93</v>
      </c>
      <c r="C42" s="67">
        <f t="shared" ref="C42:C57" si="3">COUNTIF($E$35:$E$39,B42)+COUNTIF($B$35:$B$39,B42)</f>
        <v>0</v>
      </c>
      <c r="D42" s="34"/>
      <c r="E42" s="67">
        <f>D42+C42</f>
        <v>0</v>
      </c>
      <c r="N42" s="158"/>
      <c r="O42" s="151">
        <f>N42+E42</f>
        <v>0</v>
      </c>
      <c r="S42" s="81" t="s">
        <v>173</v>
      </c>
      <c r="T42" s="96">
        <f>IF($B$17=V42,W42,U42)</f>
        <v>5</v>
      </c>
      <c r="U42" s="82">
        <v>5</v>
      </c>
      <c r="V42" s="82" t="s">
        <v>138</v>
      </c>
      <c r="W42" s="82">
        <v>3</v>
      </c>
      <c r="X42" s="82"/>
      <c r="Y42" s="83" t="s">
        <v>429</v>
      </c>
      <c r="Z42" s="84" t="s">
        <v>101</v>
      </c>
      <c r="AB42" s="99" t="s">
        <v>92</v>
      </c>
      <c r="AF42" s="81" t="s">
        <v>271</v>
      </c>
      <c r="AG42" s="82" t="s">
        <v>138</v>
      </c>
      <c r="AH42" s="82" t="s">
        <v>352</v>
      </c>
      <c r="AI42" s="82" t="s">
        <v>291</v>
      </c>
      <c r="AJ42" s="82" t="s">
        <v>186</v>
      </c>
      <c r="AK42" s="86" t="s">
        <v>101</v>
      </c>
      <c r="AL42" s="82" t="s">
        <v>93</v>
      </c>
      <c r="AM42" s="82" t="s">
        <v>215</v>
      </c>
      <c r="AN42" s="82" t="s">
        <v>216</v>
      </c>
      <c r="AO42" s="82" t="s">
        <v>218</v>
      </c>
      <c r="AP42" s="83" t="s">
        <v>224</v>
      </c>
      <c r="AQ42" s="87" t="s">
        <v>479</v>
      </c>
      <c r="AR42" s="80" t="s">
        <v>101</v>
      </c>
      <c r="AS42" s="216"/>
      <c r="AT42" s="216"/>
      <c r="AU42" s="216"/>
      <c r="AV42" s="216"/>
    </row>
    <row r="43" spans="2:48" ht="15" customHeight="1">
      <c r="B43" s="67" t="s">
        <v>94</v>
      </c>
      <c r="C43" s="67">
        <f t="shared" si="3"/>
        <v>0</v>
      </c>
      <c r="D43" s="35"/>
      <c r="E43" s="67">
        <f t="shared" ref="E43:E57" si="4">D43+C43</f>
        <v>0</v>
      </c>
      <c r="N43" s="158"/>
      <c r="O43" s="151">
        <f t="shared" ref="O43:O57" si="5">N43+E43</f>
        <v>0</v>
      </c>
      <c r="S43" s="81" t="s">
        <v>5</v>
      </c>
      <c r="T43" s="82">
        <f>U43</f>
        <v>1</v>
      </c>
      <c r="U43" s="82">
        <v>1</v>
      </c>
      <c r="V43" s="82"/>
      <c r="W43" s="82"/>
      <c r="X43" s="82">
        <v>1</v>
      </c>
      <c r="Y43" s="83" t="s">
        <v>1027</v>
      </c>
      <c r="Z43" s="84" t="s">
        <v>101</v>
      </c>
      <c r="AB43" s="87" t="s">
        <v>93</v>
      </c>
      <c r="AC43" s="69" t="s">
        <v>975</v>
      </c>
      <c r="AF43" s="81" t="s">
        <v>240</v>
      </c>
      <c r="AG43" s="82" t="s">
        <v>290</v>
      </c>
      <c r="AH43" s="82" t="s">
        <v>322</v>
      </c>
      <c r="AI43" s="82" t="s">
        <v>183</v>
      </c>
      <c r="AJ43" s="82" t="s">
        <v>11</v>
      </c>
      <c r="AK43" s="82" t="s">
        <v>7</v>
      </c>
      <c r="AL43" s="82" t="s">
        <v>215</v>
      </c>
      <c r="AM43" s="82" t="s">
        <v>216</v>
      </c>
      <c r="AN43" s="82" t="s">
        <v>219</v>
      </c>
      <c r="AO43" s="82" t="s">
        <v>223</v>
      </c>
      <c r="AP43" s="83" t="s">
        <v>224</v>
      </c>
      <c r="AQ43" s="87" t="s">
        <v>455</v>
      </c>
      <c r="AR43" s="80" t="s">
        <v>101</v>
      </c>
      <c r="AS43" s="216" t="s">
        <v>996</v>
      </c>
      <c r="AT43" s="216"/>
      <c r="AU43" s="216"/>
      <c r="AV43" s="216"/>
    </row>
    <row r="44" spans="2:48">
      <c r="B44" s="67" t="s">
        <v>95</v>
      </c>
      <c r="C44" s="67">
        <f t="shared" si="3"/>
        <v>0</v>
      </c>
      <c r="D44" s="35"/>
      <c r="E44" s="67">
        <f t="shared" si="4"/>
        <v>0</v>
      </c>
      <c r="G44" s="67" t="s">
        <v>1009</v>
      </c>
      <c r="N44" s="158"/>
      <c r="O44" s="151">
        <f t="shared" si="5"/>
        <v>0</v>
      </c>
      <c r="S44" s="81" t="s">
        <v>174</v>
      </c>
      <c r="T44" s="96">
        <f>IF($B$17=V44,W44,U44)</f>
        <v>2</v>
      </c>
      <c r="U44" s="82">
        <v>2</v>
      </c>
      <c r="V44" s="82" t="s">
        <v>211</v>
      </c>
      <c r="W44" s="82">
        <v>1</v>
      </c>
      <c r="X44" s="82"/>
      <c r="Y44" s="83" t="s">
        <v>399</v>
      </c>
      <c r="Z44" s="84" t="s">
        <v>101</v>
      </c>
      <c r="AB44" s="87" t="s">
        <v>94</v>
      </c>
      <c r="AC44" s="69" t="s">
        <v>976</v>
      </c>
      <c r="AF44" s="81" t="s">
        <v>241</v>
      </c>
      <c r="AG44" s="82" t="s">
        <v>290</v>
      </c>
      <c r="AH44" s="82" t="s">
        <v>323</v>
      </c>
      <c r="AI44" s="82" t="s">
        <v>155</v>
      </c>
      <c r="AJ44" s="82" t="s">
        <v>187</v>
      </c>
      <c r="AK44" s="86" t="s">
        <v>101</v>
      </c>
      <c r="AL44" s="82" t="s">
        <v>94</v>
      </c>
      <c r="AM44" s="82" t="s">
        <v>95</v>
      </c>
      <c r="AN44" s="82" t="s">
        <v>213</v>
      </c>
      <c r="AO44" s="82" t="s">
        <v>214</v>
      </c>
      <c r="AP44" s="83" t="s">
        <v>215</v>
      </c>
      <c r="AQ44" s="87" t="s">
        <v>456</v>
      </c>
      <c r="AR44" s="80" t="s">
        <v>101</v>
      </c>
      <c r="AS44" s="216"/>
      <c r="AT44" s="216"/>
      <c r="AU44" s="216"/>
      <c r="AV44" s="216"/>
    </row>
    <row r="45" spans="2:48">
      <c r="B45" s="67" t="s">
        <v>96</v>
      </c>
      <c r="C45" s="67">
        <f t="shared" si="3"/>
        <v>0</v>
      </c>
      <c r="D45" s="35"/>
      <c r="E45" s="67">
        <f t="shared" si="4"/>
        <v>0</v>
      </c>
      <c r="G45" s="67" t="s">
        <v>1010</v>
      </c>
      <c r="N45" s="158"/>
      <c r="O45" s="151">
        <f t="shared" si="5"/>
        <v>0</v>
      </c>
      <c r="S45" s="81" t="s">
        <v>175</v>
      </c>
      <c r="T45" s="82">
        <f>U45</f>
        <v>4</v>
      </c>
      <c r="U45" s="82">
        <v>4</v>
      </c>
      <c r="V45" s="82"/>
      <c r="W45" s="82"/>
      <c r="X45" s="82"/>
      <c r="Y45" s="83" t="s">
        <v>423</v>
      </c>
      <c r="Z45" s="84" t="s">
        <v>101</v>
      </c>
      <c r="AB45" s="87" t="s">
        <v>95</v>
      </c>
      <c r="AC45" s="69" t="s">
        <v>977</v>
      </c>
      <c r="AF45" s="81" t="s">
        <v>242</v>
      </c>
      <c r="AG45" s="82" t="s">
        <v>290</v>
      </c>
      <c r="AH45" s="82" t="s">
        <v>324</v>
      </c>
      <c r="AI45" s="82" t="s">
        <v>206</v>
      </c>
      <c r="AJ45" s="82" t="s">
        <v>172</v>
      </c>
      <c r="AK45" s="86" t="s">
        <v>101</v>
      </c>
      <c r="AL45" s="82" t="s">
        <v>94</v>
      </c>
      <c r="AM45" s="82" t="s">
        <v>213</v>
      </c>
      <c r="AN45" s="82" t="s">
        <v>217</v>
      </c>
      <c r="AO45" s="82" t="s">
        <v>221</v>
      </c>
      <c r="AP45" s="83" t="s">
        <v>222</v>
      </c>
      <c r="AQ45" s="90" t="s">
        <v>438</v>
      </c>
      <c r="AR45" s="80" t="s">
        <v>101</v>
      </c>
      <c r="AS45" s="216"/>
      <c r="AT45" s="216"/>
      <c r="AU45" s="216"/>
      <c r="AV45" s="216"/>
    </row>
    <row r="46" spans="2:48" ht="15" customHeight="1">
      <c r="B46" s="67" t="s">
        <v>213</v>
      </c>
      <c r="C46" s="67">
        <f t="shared" si="3"/>
        <v>0</v>
      </c>
      <c r="D46" s="35"/>
      <c r="E46" s="67">
        <f t="shared" si="4"/>
        <v>0</v>
      </c>
      <c r="G46" s="67" t="s">
        <v>1011</v>
      </c>
      <c r="N46" s="158"/>
      <c r="O46" s="151">
        <f t="shared" si="5"/>
        <v>0</v>
      </c>
      <c r="S46" s="81" t="s">
        <v>6</v>
      </c>
      <c r="T46" s="82">
        <f>U46</f>
        <v>1</v>
      </c>
      <c r="U46" s="82">
        <v>1</v>
      </c>
      <c r="V46" s="82"/>
      <c r="W46" s="82"/>
      <c r="X46" s="82"/>
      <c r="Y46" s="83" t="s">
        <v>390</v>
      </c>
      <c r="Z46" s="84" t="s">
        <v>101</v>
      </c>
      <c r="AB46" s="87" t="s">
        <v>96</v>
      </c>
      <c r="AC46" s="69" t="s">
        <v>978</v>
      </c>
      <c r="AF46" s="81" t="s">
        <v>243</v>
      </c>
      <c r="AG46" s="82" t="s">
        <v>290</v>
      </c>
      <c r="AH46" s="82" t="s">
        <v>325</v>
      </c>
      <c r="AI46" s="82" t="s">
        <v>158</v>
      </c>
      <c r="AJ46" s="82" t="s">
        <v>171</v>
      </c>
      <c r="AK46" s="86" t="s">
        <v>101</v>
      </c>
      <c r="AL46" s="82" t="s">
        <v>93</v>
      </c>
      <c r="AM46" s="82" t="s">
        <v>215</v>
      </c>
      <c r="AN46" s="82" t="s">
        <v>216</v>
      </c>
      <c r="AO46" s="82" t="s">
        <v>219</v>
      </c>
      <c r="AP46" s="83" t="s">
        <v>222</v>
      </c>
      <c r="AQ46" s="87" t="s">
        <v>457</v>
      </c>
      <c r="AR46" s="80" t="s">
        <v>101</v>
      </c>
      <c r="AS46" s="216" t="s">
        <v>997</v>
      </c>
      <c r="AT46" s="216"/>
      <c r="AU46" s="216"/>
      <c r="AV46" s="216"/>
    </row>
    <row r="47" spans="2:48" ht="15" customHeight="1">
      <c r="B47" s="67" t="s">
        <v>214</v>
      </c>
      <c r="C47" s="67">
        <f t="shared" si="3"/>
        <v>0</v>
      </c>
      <c r="D47" s="35"/>
      <c r="E47" s="67">
        <f t="shared" si="4"/>
        <v>0</v>
      </c>
      <c r="N47" s="158"/>
      <c r="O47" s="151">
        <f t="shared" si="5"/>
        <v>0</v>
      </c>
      <c r="S47" s="81" t="s">
        <v>176</v>
      </c>
      <c r="T47" s="82">
        <f>U47</f>
        <v>4</v>
      </c>
      <c r="U47" s="82">
        <v>4</v>
      </c>
      <c r="V47" s="82"/>
      <c r="W47" s="82"/>
      <c r="X47" s="82">
        <v>1</v>
      </c>
      <c r="Y47" s="83" t="s">
        <v>551</v>
      </c>
      <c r="Z47" s="84" t="s">
        <v>101</v>
      </c>
      <c r="AB47" s="87" t="s">
        <v>213</v>
      </c>
      <c r="AC47" s="69" t="s">
        <v>979</v>
      </c>
      <c r="AF47" s="81" t="s">
        <v>274</v>
      </c>
      <c r="AG47" s="82" t="s">
        <v>211</v>
      </c>
      <c r="AH47" s="82" t="s">
        <v>354</v>
      </c>
      <c r="AI47" s="82" t="s">
        <v>174</v>
      </c>
      <c r="AJ47" s="82" t="s">
        <v>176</v>
      </c>
      <c r="AK47" s="86" t="s">
        <v>101</v>
      </c>
      <c r="AL47" s="82" t="s">
        <v>96</v>
      </c>
      <c r="AM47" s="82" t="s">
        <v>213</v>
      </c>
      <c r="AN47" s="82" t="s">
        <v>215</v>
      </c>
      <c r="AO47" s="82" t="s">
        <v>217</v>
      </c>
      <c r="AP47" s="83" t="s">
        <v>221</v>
      </c>
      <c r="AQ47" s="87" t="s">
        <v>482</v>
      </c>
      <c r="AR47" s="80" t="s">
        <v>101</v>
      </c>
      <c r="AS47" s="216" t="s">
        <v>1005</v>
      </c>
      <c r="AT47" s="216"/>
      <c r="AU47" s="216"/>
      <c r="AV47" s="216"/>
    </row>
    <row r="48" spans="2:48">
      <c r="B48" s="67" t="s">
        <v>215</v>
      </c>
      <c r="C48" s="67">
        <f t="shared" si="3"/>
        <v>0</v>
      </c>
      <c r="D48" s="35"/>
      <c r="E48" s="67">
        <f t="shared" si="4"/>
        <v>0</v>
      </c>
      <c r="N48" s="158"/>
      <c r="O48" s="151">
        <f t="shared" si="5"/>
        <v>0</v>
      </c>
      <c r="S48" s="81" t="s">
        <v>177</v>
      </c>
      <c r="T48" s="82">
        <f>U48</f>
        <v>2</v>
      </c>
      <c r="U48" s="82">
        <v>2</v>
      </c>
      <c r="V48" s="82"/>
      <c r="W48" s="82"/>
      <c r="X48" s="82"/>
      <c r="Y48" s="83" t="s">
        <v>400</v>
      </c>
      <c r="Z48" s="84" t="s">
        <v>101</v>
      </c>
      <c r="AB48" s="87" t="s">
        <v>214</v>
      </c>
      <c r="AC48" s="69" t="s">
        <v>980</v>
      </c>
      <c r="AF48" s="81" t="s">
        <v>244</v>
      </c>
      <c r="AG48" s="82" t="s">
        <v>290</v>
      </c>
      <c r="AH48" s="82" t="s">
        <v>326</v>
      </c>
      <c r="AI48" s="82" t="s">
        <v>181</v>
      </c>
      <c r="AJ48" s="82" t="s">
        <v>172</v>
      </c>
      <c r="AK48" s="86" t="s">
        <v>101</v>
      </c>
      <c r="AL48" s="82" t="s">
        <v>213</v>
      </c>
      <c r="AM48" s="82" t="s">
        <v>217</v>
      </c>
      <c r="AN48" s="82" t="s">
        <v>218</v>
      </c>
      <c r="AO48" s="82" t="s">
        <v>220</v>
      </c>
      <c r="AP48" s="83" t="s">
        <v>221</v>
      </c>
      <c r="AQ48" s="90" t="s">
        <v>439</v>
      </c>
      <c r="AR48" s="80" t="s">
        <v>101</v>
      </c>
      <c r="AS48" s="216"/>
      <c r="AT48" s="216"/>
      <c r="AU48" s="216"/>
      <c r="AV48" s="216"/>
    </row>
    <row r="49" spans="2:48">
      <c r="B49" s="67" t="s">
        <v>216</v>
      </c>
      <c r="C49" s="67">
        <f t="shared" si="3"/>
        <v>0</v>
      </c>
      <c r="D49" s="35"/>
      <c r="E49" s="67">
        <f t="shared" si="4"/>
        <v>0</v>
      </c>
      <c r="N49" s="158"/>
      <c r="O49" s="151">
        <f t="shared" si="5"/>
        <v>0</v>
      </c>
      <c r="S49" s="81" t="s">
        <v>178</v>
      </c>
      <c r="T49" s="96">
        <f>IF($B$17=V49,W49,U49)</f>
        <v>3</v>
      </c>
      <c r="U49" s="82">
        <v>3</v>
      </c>
      <c r="V49" s="82" t="s">
        <v>141</v>
      </c>
      <c r="W49" s="82">
        <v>2</v>
      </c>
      <c r="X49" s="82"/>
      <c r="Y49" s="83" t="s">
        <v>1015</v>
      </c>
      <c r="Z49" s="84" t="s">
        <v>101</v>
      </c>
      <c r="AB49" s="87" t="s">
        <v>215</v>
      </c>
      <c r="AC49" s="69" t="s">
        <v>981</v>
      </c>
      <c r="AF49" s="81" t="s">
        <v>266</v>
      </c>
      <c r="AG49" s="82" t="s">
        <v>263</v>
      </c>
      <c r="AH49" s="82" t="s">
        <v>338</v>
      </c>
      <c r="AI49" s="82" t="s">
        <v>300</v>
      </c>
      <c r="AJ49" s="82" t="s">
        <v>183</v>
      </c>
      <c r="AK49" s="86" t="s">
        <v>101</v>
      </c>
      <c r="AL49" s="82" t="s">
        <v>216</v>
      </c>
      <c r="AM49" s="82" t="s">
        <v>219</v>
      </c>
      <c r="AN49" s="82" t="s">
        <v>221</v>
      </c>
      <c r="AO49" s="82" t="s">
        <v>222</v>
      </c>
      <c r="AP49" s="83" t="s">
        <v>224</v>
      </c>
      <c r="AQ49" s="87" t="s">
        <v>467</v>
      </c>
      <c r="AR49" s="80" t="s">
        <v>101</v>
      </c>
      <c r="AS49" s="216" t="s">
        <v>1006</v>
      </c>
      <c r="AT49" s="216"/>
      <c r="AU49" s="216"/>
      <c r="AV49" s="216"/>
    </row>
    <row r="50" spans="2:48" ht="15" customHeight="1">
      <c r="B50" s="67" t="s">
        <v>217</v>
      </c>
      <c r="C50" s="67">
        <f t="shared" si="3"/>
        <v>0</v>
      </c>
      <c r="D50" s="35"/>
      <c r="E50" s="67">
        <f t="shared" si="4"/>
        <v>0</v>
      </c>
      <c r="N50" s="158"/>
      <c r="O50" s="151">
        <f t="shared" si="5"/>
        <v>0</v>
      </c>
      <c r="S50" s="81" t="s">
        <v>179</v>
      </c>
      <c r="T50" s="82">
        <f>U50</f>
        <v>4</v>
      </c>
      <c r="U50" s="82">
        <v>4</v>
      </c>
      <c r="V50" s="82"/>
      <c r="W50" s="82"/>
      <c r="X50" s="82"/>
      <c r="Y50" s="83" t="s">
        <v>424</v>
      </c>
      <c r="Z50" s="84" t="s">
        <v>101</v>
      </c>
      <c r="AB50" s="87" t="s">
        <v>216</v>
      </c>
      <c r="AC50" s="69" t="s">
        <v>982</v>
      </c>
      <c r="AF50" s="81" t="s">
        <v>245</v>
      </c>
      <c r="AG50" s="82" t="s">
        <v>290</v>
      </c>
      <c r="AH50" s="82" t="s">
        <v>327</v>
      </c>
      <c r="AI50" s="82" t="s">
        <v>201</v>
      </c>
      <c r="AJ50" s="82" t="s">
        <v>200</v>
      </c>
      <c r="AK50" s="86" t="s">
        <v>101</v>
      </c>
      <c r="AL50" s="82" t="s">
        <v>96</v>
      </c>
      <c r="AM50" s="82" t="s">
        <v>213</v>
      </c>
      <c r="AN50" s="82" t="s">
        <v>217</v>
      </c>
      <c r="AO50" s="82" t="s">
        <v>220</v>
      </c>
      <c r="AP50" s="83" t="s">
        <v>221</v>
      </c>
      <c r="AQ50" s="90" t="s">
        <v>440</v>
      </c>
      <c r="AR50" s="80" t="s">
        <v>101</v>
      </c>
      <c r="AS50" s="216"/>
      <c r="AT50" s="216"/>
      <c r="AU50" s="216"/>
      <c r="AV50" s="216"/>
    </row>
    <row r="51" spans="2:48" ht="15" customHeight="1">
      <c r="B51" s="67" t="s">
        <v>218</v>
      </c>
      <c r="C51" s="67">
        <f t="shared" si="3"/>
        <v>0</v>
      </c>
      <c r="D51" s="35"/>
      <c r="E51" s="67">
        <f t="shared" si="4"/>
        <v>0</v>
      </c>
      <c r="N51" s="158"/>
      <c r="O51" s="151">
        <f t="shared" si="5"/>
        <v>0</v>
      </c>
      <c r="S51" s="81" t="s">
        <v>180</v>
      </c>
      <c r="T51" s="82">
        <f>U51</f>
        <v>3</v>
      </c>
      <c r="U51" s="82">
        <v>3</v>
      </c>
      <c r="V51" s="82"/>
      <c r="W51" s="82"/>
      <c r="X51" s="82"/>
      <c r="Y51" s="83" t="s">
        <v>418</v>
      </c>
      <c r="Z51" s="84" t="s">
        <v>101</v>
      </c>
      <c r="AB51" s="87" t="s">
        <v>217</v>
      </c>
      <c r="AC51" s="69" t="s">
        <v>983</v>
      </c>
      <c r="AF51" s="81" t="s">
        <v>279</v>
      </c>
      <c r="AG51" s="82" t="s">
        <v>212</v>
      </c>
      <c r="AH51" s="82" t="s">
        <v>358</v>
      </c>
      <c r="AI51" s="82" t="s">
        <v>163</v>
      </c>
      <c r="AJ51" s="82" t="s">
        <v>169</v>
      </c>
      <c r="AK51" s="82" t="s">
        <v>157</v>
      </c>
      <c r="AL51" s="82" t="s">
        <v>94</v>
      </c>
      <c r="AM51" s="82" t="s">
        <v>96</v>
      </c>
      <c r="AN51" s="82" t="s">
        <v>213</v>
      </c>
      <c r="AO51" s="82" t="s">
        <v>218</v>
      </c>
      <c r="AP51" s="83" t="s">
        <v>221</v>
      </c>
      <c r="AQ51" s="87" t="s">
        <v>487</v>
      </c>
      <c r="AR51" s="80" t="s">
        <v>101</v>
      </c>
      <c r="AS51" s="216"/>
      <c r="AT51" s="216"/>
      <c r="AU51" s="216"/>
      <c r="AV51" s="216"/>
    </row>
    <row r="52" spans="2:48" ht="15" customHeight="1">
      <c r="B52" s="67" t="s">
        <v>219</v>
      </c>
      <c r="C52" s="67">
        <f t="shared" si="3"/>
        <v>0</v>
      </c>
      <c r="D52" s="35"/>
      <c r="E52" s="67">
        <f t="shared" si="4"/>
        <v>0</v>
      </c>
      <c r="N52" s="158"/>
      <c r="O52" s="151">
        <f t="shared" si="5"/>
        <v>0</v>
      </c>
      <c r="S52" s="81" t="s">
        <v>181</v>
      </c>
      <c r="T52" s="96">
        <f>IF($B$17=V52,W52,U52)</f>
        <v>3</v>
      </c>
      <c r="U52" s="82">
        <v>3</v>
      </c>
      <c r="V52" s="82" t="s">
        <v>208</v>
      </c>
      <c r="W52" s="82">
        <v>2</v>
      </c>
      <c r="X52" s="82"/>
      <c r="Y52" s="83" t="s">
        <v>419</v>
      </c>
      <c r="Z52" s="84" t="s">
        <v>101</v>
      </c>
      <c r="AB52" s="87" t="s">
        <v>218</v>
      </c>
      <c r="AC52" s="69" t="s">
        <v>984</v>
      </c>
      <c r="AF52" s="81" t="s">
        <v>246</v>
      </c>
      <c r="AG52" s="82" t="s">
        <v>290</v>
      </c>
      <c r="AH52" s="82" t="s">
        <v>328</v>
      </c>
      <c r="AI52" s="82" t="s">
        <v>153</v>
      </c>
      <c r="AJ52" s="82" t="s">
        <v>197</v>
      </c>
      <c r="AK52" s="86" t="s">
        <v>101</v>
      </c>
      <c r="AL52" s="82" t="s">
        <v>94</v>
      </c>
      <c r="AM52" s="82" t="s">
        <v>95</v>
      </c>
      <c r="AN52" s="82" t="s">
        <v>96</v>
      </c>
      <c r="AO52" s="82" t="s">
        <v>213</v>
      </c>
      <c r="AP52" s="83" t="s">
        <v>217</v>
      </c>
      <c r="AQ52" s="87" t="s">
        <v>458</v>
      </c>
      <c r="AR52" s="80" t="s">
        <v>101</v>
      </c>
      <c r="AS52" s="216" t="s">
        <v>1004</v>
      </c>
      <c r="AT52" s="216"/>
      <c r="AU52" s="216"/>
      <c r="AV52" s="216"/>
    </row>
    <row r="53" spans="2:48">
      <c r="B53" s="67" t="s">
        <v>220</v>
      </c>
      <c r="C53" s="67">
        <f t="shared" si="3"/>
        <v>0</v>
      </c>
      <c r="D53" s="35"/>
      <c r="E53" s="67">
        <f t="shared" si="4"/>
        <v>0</v>
      </c>
      <c r="N53" s="158"/>
      <c r="O53" s="151">
        <f t="shared" si="5"/>
        <v>0</v>
      </c>
      <c r="S53" s="81" t="s">
        <v>182</v>
      </c>
      <c r="T53" s="82">
        <f>U53</f>
        <v>3</v>
      </c>
      <c r="U53" s="82">
        <v>3</v>
      </c>
      <c r="V53" s="82"/>
      <c r="W53" s="82"/>
      <c r="X53" s="82"/>
      <c r="Y53" s="83" t="s">
        <v>554</v>
      </c>
      <c r="Z53" s="84" t="s">
        <v>101</v>
      </c>
      <c r="AB53" s="87" t="s">
        <v>219</v>
      </c>
      <c r="AC53" s="69" t="s">
        <v>985</v>
      </c>
      <c r="AF53" s="81" t="s">
        <v>254</v>
      </c>
      <c r="AG53" s="82" t="s">
        <v>207</v>
      </c>
      <c r="AH53" s="82" t="s">
        <v>340</v>
      </c>
      <c r="AI53" s="82" t="s">
        <v>161</v>
      </c>
      <c r="AJ53" s="82" t="s">
        <v>133</v>
      </c>
      <c r="AK53" s="86" t="s">
        <v>101</v>
      </c>
      <c r="AL53" s="82" t="s">
        <v>96</v>
      </c>
      <c r="AM53" s="82" t="s">
        <v>213</v>
      </c>
      <c r="AN53" s="82" t="s">
        <v>215</v>
      </c>
      <c r="AO53" s="82" t="s">
        <v>218</v>
      </c>
      <c r="AP53" s="83" t="s">
        <v>220</v>
      </c>
      <c r="AQ53" s="87" t="s">
        <v>469</v>
      </c>
      <c r="AR53" s="80" t="s">
        <v>101</v>
      </c>
      <c r="AS53" s="216" t="s">
        <v>1003</v>
      </c>
      <c r="AT53" s="216"/>
      <c r="AU53" s="216"/>
      <c r="AV53" s="216"/>
    </row>
    <row r="54" spans="2:48">
      <c r="B54" s="67" t="s">
        <v>221</v>
      </c>
      <c r="C54" s="67">
        <f t="shared" si="3"/>
        <v>0</v>
      </c>
      <c r="D54" s="35"/>
      <c r="E54" s="67">
        <f t="shared" si="4"/>
        <v>0</v>
      </c>
      <c r="N54" s="158"/>
      <c r="O54" s="151">
        <f t="shared" si="5"/>
        <v>0</v>
      </c>
      <c r="S54" s="81" t="s">
        <v>183</v>
      </c>
      <c r="T54" s="82">
        <f>U54</f>
        <v>2</v>
      </c>
      <c r="U54" s="82">
        <v>2</v>
      </c>
      <c r="V54" s="82"/>
      <c r="W54" s="82"/>
      <c r="X54" s="82"/>
      <c r="Y54" s="83" t="s">
        <v>401</v>
      </c>
      <c r="Z54" s="84" t="s">
        <v>101</v>
      </c>
      <c r="AB54" s="87" t="s">
        <v>220</v>
      </c>
      <c r="AC54" s="69" t="s">
        <v>986</v>
      </c>
      <c r="AF54" s="81" t="s">
        <v>247</v>
      </c>
      <c r="AG54" s="82" t="s">
        <v>290</v>
      </c>
      <c r="AH54" s="69" t="s">
        <v>329</v>
      </c>
      <c r="AI54" s="82" t="s">
        <v>169</v>
      </c>
      <c r="AJ54" s="82" t="s">
        <v>168</v>
      </c>
      <c r="AK54" s="82" t="s">
        <v>7</v>
      </c>
      <c r="AL54" s="82" t="s">
        <v>93</v>
      </c>
      <c r="AM54" s="82" t="s">
        <v>95</v>
      </c>
      <c r="AN54" s="82" t="s">
        <v>214</v>
      </c>
      <c r="AO54" s="82" t="s">
        <v>219</v>
      </c>
      <c r="AP54" s="83" t="s">
        <v>223</v>
      </c>
      <c r="AQ54" s="87" t="s">
        <v>459</v>
      </c>
      <c r="AR54" s="80" t="s">
        <v>101</v>
      </c>
      <c r="AS54" s="216"/>
      <c r="AT54" s="216"/>
      <c r="AU54" s="216"/>
      <c r="AV54" s="216"/>
    </row>
    <row r="55" spans="2:48">
      <c r="B55" s="67" t="s">
        <v>222</v>
      </c>
      <c r="C55" s="67">
        <f t="shared" si="3"/>
        <v>0</v>
      </c>
      <c r="D55" s="35"/>
      <c r="E55" s="67">
        <f t="shared" si="4"/>
        <v>0</v>
      </c>
      <c r="N55" s="158"/>
      <c r="O55" s="151">
        <f t="shared" si="5"/>
        <v>0</v>
      </c>
      <c r="S55" s="81" t="s">
        <v>184</v>
      </c>
      <c r="T55" s="96">
        <f>IF($B$17=V55,W55,U55)</f>
        <v>2</v>
      </c>
      <c r="U55" s="82">
        <v>2</v>
      </c>
      <c r="V55" s="82" t="s">
        <v>142</v>
      </c>
      <c r="W55" s="82">
        <v>1</v>
      </c>
      <c r="X55" s="82"/>
      <c r="Y55" s="83" t="s">
        <v>555</v>
      </c>
      <c r="Z55" s="84" t="s">
        <v>101</v>
      </c>
      <c r="AB55" s="87" t="s">
        <v>221</v>
      </c>
      <c r="AC55" s="69" t="s">
        <v>987</v>
      </c>
      <c r="AF55" s="81" t="s">
        <v>272</v>
      </c>
      <c r="AG55" s="82" t="s">
        <v>138</v>
      </c>
      <c r="AH55" s="82" t="s">
        <v>561</v>
      </c>
      <c r="AI55" s="82" t="s">
        <v>173</v>
      </c>
      <c r="AJ55" s="82" t="s">
        <v>192</v>
      </c>
      <c r="AK55" s="86" t="s">
        <v>101</v>
      </c>
      <c r="AL55" s="82" t="s">
        <v>214</v>
      </c>
      <c r="AM55" s="82" t="s">
        <v>216</v>
      </c>
      <c r="AN55" s="82" t="s">
        <v>218</v>
      </c>
      <c r="AO55" s="82" t="s">
        <v>222</v>
      </c>
      <c r="AP55" s="83" t="s">
        <v>224</v>
      </c>
      <c r="AQ55" s="87" t="s">
        <v>480</v>
      </c>
      <c r="AR55" s="80" t="s">
        <v>101</v>
      </c>
      <c r="AS55" s="216" t="s">
        <v>1002</v>
      </c>
      <c r="AT55" s="216"/>
      <c r="AU55" s="216"/>
      <c r="AV55" s="216"/>
    </row>
    <row r="56" spans="2:48">
      <c r="B56" s="67" t="s">
        <v>223</v>
      </c>
      <c r="C56" s="67">
        <f t="shared" si="3"/>
        <v>0</v>
      </c>
      <c r="D56" s="35"/>
      <c r="E56" s="67">
        <f t="shared" si="4"/>
        <v>0</v>
      </c>
      <c r="N56" s="158"/>
      <c r="O56" s="151">
        <f t="shared" si="5"/>
        <v>0</v>
      </c>
      <c r="S56" s="81" t="s">
        <v>185</v>
      </c>
      <c r="T56" s="82">
        <f t="shared" ref="T56:T63" si="6">U56</f>
        <v>2</v>
      </c>
      <c r="U56" s="82">
        <v>2</v>
      </c>
      <c r="V56" s="82"/>
      <c r="W56" s="82"/>
      <c r="X56" s="82"/>
      <c r="Y56" s="83" t="s">
        <v>402</v>
      </c>
      <c r="Z56" s="84" t="s">
        <v>101</v>
      </c>
      <c r="AB56" s="87" t="s">
        <v>222</v>
      </c>
      <c r="AC56" s="69" t="s">
        <v>988</v>
      </c>
      <c r="AF56" s="81" t="s">
        <v>248</v>
      </c>
      <c r="AG56" s="82" t="s">
        <v>290</v>
      </c>
      <c r="AH56" s="82" t="s">
        <v>330</v>
      </c>
      <c r="AI56" s="82" t="s">
        <v>152</v>
      </c>
      <c r="AJ56" s="82" t="s">
        <v>162</v>
      </c>
      <c r="AK56" s="86" t="s">
        <v>101</v>
      </c>
      <c r="AL56" s="82" t="s">
        <v>95</v>
      </c>
      <c r="AM56" s="82" t="s">
        <v>216</v>
      </c>
      <c r="AN56" s="82" t="s">
        <v>219</v>
      </c>
      <c r="AO56" s="82" t="s">
        <v>221</v>
      </c>
      <c r="AP56" s="83" t="s">
        <v>224</v>
      </c>
      <c r="AQ56" s="87" t="s">
        <v>460</v>
      </c>
      <c r="AR56" s="80" t="s">
        <v>101</v>
      </c>
      <c r="AS56" s="216"/>
      <c r="AT56" s="216"/>
      <c r="AU56" s="216"/>
      <c r="AV56" s="216"/>
    </row>
    <row r="57" spans="2:48">
      <c r="B57" s="67" t="s">
        <v>224</v>
      </c>
      <c r="C57" s="67">
        <f t="shared" si="3"/>
        <v>0</v>
      </c>
      <c r="D57" s="36"/>
      <c r="E57" s="67">
        <f t="shared" si="4"/>
        <v>0</v>
      </c>
      <c r="N57" s="158"/>
      <c r="O57" s="151">
        <f t="shared" si="5"/>
        <v>0</v>
      </c>
      <c r="S57" s="81" t="s">
        <v>186</v>
      </c>
      <c r="T57" s="82">
        <f t="shared" si="6"/>
        <v>3</v>
      </c>
      <c r="U57" s="82">
        <v>3</v>
      </c>
      <c r="V57" s="82"/>
      <c r="W57" s="82"/>
      <c r="X57" s="82"/>
      <c r="Y57" s="83" t="s">
        <v>556</v>
      </c>
      <c r="Z57" s="84" t="s">
        <v>101</v>
      </c>
      <c r="AB57" s="87" t="s">
        <v>223</v>
      </c>
      <c r="AC57" s="69" t="s">
        <v>989</v>
      </c>
      <c r="AF57" s="81" t="s">
        <v>269</v>
      </c>
      <c r="AG57" s="82" t="s">
        <v>210</v>
      </c>
      <c r="AH57" s="82" t="s">
        <v>341</v>
      </c>
      <c r="AI57" s="82" t="s">
        <v>200</v>
      </c>
      <c r="AJ57" s="82" t="s">
        <v>159</v>
      </c>
      <c r="AK57" s="82" t="s">
        <v>1</v>
      </c>
      <c r="AL57" s="82" t="s">
        <v>94</v>
      </c>
      <c r="AM57" s="82" t="s">
        <v>96</v>
      </c>
      <c r="AN57" s="82" t="s">
        <v>213</v>
      </c>
      <c r="AO57" s="82" t="s">
        <v>217</v>
      </c>
      <c r="AP57" s="83" t="s">
        <v>224</v>
      </c>
      <c r="AQ57" s="87" t="s">
        <v>470</v>
      </c>
      <c r="AR57" s="80" t="s">
        <v>101</v>
      </c>
      <c r="AS57" s="216"/>
      <c r="AT57" s="216"/>
      <c r="AU57" s="216"/>
      <c r="AV57" s="216"/>
    </row>
    <row r="58" spans="2:48">
      <c r="S58" s="81" t="s">
        <v>187</v>
      </c>
      <c r="T58" s="82">
        <f t="shared" si="6"/>
        <v>2</v>
      </c>
      <c r="U58" s="82">
        <v>2</v>
      </c>
      <c r="V58" s="82"/>
      <c r="W58" s="82"/>
      <c r="X58" s="82"/>
      <c r="Y58" s="83" t="s">
        <v>403</v>
      </c>
      <c r="Z58" s="84" t="s">
        <v>101</v>
      </c>
      <c r="AB58" s="100" t="s">
        <v>224</v>
      </c>
      <c r="AC58" s="69" t="s">
        <v>990</v>
      </c>
      <c r="AF58" s="81" t="s">
        <v>249</v>
      </c>
      <c r="AG58" s="82" t="s">
        <v>290</v>
      </c>
      <c r="AH58" s="82" t="s">
        <v>331</v>
      </c>
      <c r="AI58" s="82" t="s">
        <v>204</v>
      </c>
      <c r="AJ58" s="82" t="s">
        <v>6</v>
      </c>
      <c r="AK58" s="86" t="s">
        <v>101</v>
      </c>
      <c r="AL58" s="82" t="s">
        <v>96</v>
      </c>
      <c r="AM58" s="82" t="s">
        <v>213</v>
      </c>
      <c r="AN58" s="82" t="s">
        <v>216</v>
      </c>
      <c r="AO58" s="82" t="s">
        <v>217</v>
      </c>
      <c r="AP58" s="83" t="s">
        <v>220</v>
      </c>
      <c r="AQ58" s="87" t="s">
        <v>461</v>
      </c>
      <c r="AR58" s="80" t="s">
        <v>101</v>
      </c>
      <c r="AS58" s="216" t="s">
        <v>1001</v>
      </c>
      <c r="AT58" s="216"/>
      <c r="AU58" s="216"/>
      <c r="AV58" s="216"/>
    </row>
    <row r="59" spans="2:48" ht="18.75">
      <c r="B59" s="72" t="s">
        <v>0</v>
      </c>
      <c r="D59" s="67" t="s">
        <v>12</v>
      </c>
      <c r="F59" s="73" t="s">
        <v>129</v>
      </c>
      <c r="G59" s="74" t="e">
        <f>5+H30-SUM(D67:D74)</f>
        <v>#N/A</v>
      </c>
      <c r="S59" s="81" t="s">
        <v>133</v>
      </c>
      <c r="T59" s="82">
        <f t="shared" si="6"/>
        <v>2</v>
      </c>
      <c r="U59" s="82">
        <v>2</v>
      </c>
      <c r="V59" s="82"/>
      <c r="W59" s="82"/>
      <c r="X59" s="82"/>
      <c r="Y59" s="83" t="s">
        <v>404</v>
      </c>
      <c r="Z59" s="84" t="s">
        <v>101</v>
      </c>
      <c r="AF59" s="81" t="s">
        <v>268</v>
      </c>
      <c r="AG59" s="82" t="s">
        <v>209</v>
      </c>
      <c r="AH59" s="82" t="s">
        <v>342</v>
      </c>
      <c r="AI59" s="82" t="s">
        <v>189</v>
      </c>
      <c r="AJ59" s="82" t="s">
        <v>6</v>
      </c>
      <c r="AK59" s="86" t="s">
        <v>101</v>
      </c>
      <c r="AL59" s="82" t="s">
        <v>96</v>
      </c>
      <c r="AM59" s="82" t="s">
        <v>216</v>
      </c>
      <c r="AN59" s="82" t="s">
        <v>217</v>
      </c>
      <c r="AO59" s="82" t="s">
        <v>218</v>
      </c>
      <c r="AP59" s="83" t="s">
        <v>224</v>
      </c>
      <c r="AQ59" s="87" t="s">
        <v>471</v>
      </c>
      <c r="AR59" s="80" t="s">
        <v>101</v>
      </c>
      <c r="AS59" s="216"/>
      <c r="AT59" s="216"/>
      <c r="AU59" s="216"/>
      <c r="AV59" s="216"/>
    </row>
    <row r="60" spans="2:48">
      <c r="B60" s="206" t="e">
        <f>B30</f>
        <v>#N/A</v>
      </c>
      <c r="C60" s="206"/>
      <c r="D60" s="67" t="e">
        <f t="shared" ref="D60:D65" si="7">IF(B60&lt;&gt;"",VLOOKUP(B60,$S$10:$T$85,2),0)</f>
        <v>#N/A</v>
      </c>
      <c r="E60" s="159"/>
      <c r="F60" s="206"/>
      <c r="G60" s="206"/>
      <c r="H60" s="206"/>
      <c r="I60" s="206"/>
      <c r="J60" s="206"/>
      <c r="K60" s="206"/>
      <c r="S60" s="81" t="s">
        <v>188</v>
      </c>
      <c r="T60" s="82">
        <f t="shared" si="6"/>
        <v>3</v>
      </c>
      <c r="U60" s="82">
        <v>3</v>
      </c>
      <c r="V60" s="82"/>
      <c r="W60" s="82"/>
      <c r="X60" s="82"/>
      <c r="Y60" s="83" t="s">
        <v>420</v>
      </c>
      <c r="Z60" s="84" t="s">
        <v>101</v>
      </c>
      <c r="AB60" s="99" t="s">
        <v>79</v>
      </c>
      <c r="AF60" s="81" t="s">
        <v>250</v>
      </c>
      <c r="AG60" s="82" t="s">
        <v>290</v>
      </c>
      <c r="AH60" s="82" t="s">
        <v>332</v>
      </c>
      <c r="AI60" s="82" t="s">
        <v>166</v>
      </c>
      <c r="AJ60" s="82" t="s">
        <v>200</v>
      </c>
      <c r="AK60" s="86" t="s">
        <v>101</v>
      </c>
      <c r="AL60" s="82" t="s">
        <v>214</v>
      </c>
      <c r="AM60" s="82" t="s">
        <v>216</v>
      </c>
      <c r="AN60" s="82" t="s">
        <v>218</v>
      </c>
      <c r="AO60" s="82" t="s">
        <v>221</v>
      </c>
      <c r="AP60" s="83" t="s">
        <v>222</v>
      </c>
      <c r="AQ60" s="87" t="s">
        <v>462</v>
      </c>
      <c r="AR60" s="80" t="s">
        <v>101</v>
      </c>
      <c r="AS60" s="216" t="s">
        <v>1000</v>
      </c>
      <c r="AT60" s="216"/>
      <c r="AU60" s="216"/>
      <c r="AV60" s="216"/>
    </row>
    <row r="61" spans="2:48">
      <c r="B61" s="206" t="e">
        <f>B31</f>
        <v>#N/A</v>
      </c>
      <c r="C61" s="206"/>
      <c r="D61" s="67" t="e">
        <f t="shared" si="7"/>
        <v>#N/A</v>
      </c>
      <c r="E61" s="159"/>
      <c r="F61" s="206"/>
      <c r="G61" s="206"/>
      <c r="H61" s="206"/>
      <c r="I61" s="206"/>
      <c r="J61" s="206"/>
      <c r="K61" s="206"/>
      <c r="S61" s="81" t="s">
        <v>189</v>
      </c>
      <c r="T61" s="82">
        <f t="shared" si="6"/>
        <v>4</v>
      </c>
      <c r="U61" s="82">
        <v>4</v>
      </c>
      <c r="V61" s="82"/>
      <c r="W61" s="82"/>
      <c r="X61" s="82"/>
      <c r="Y61" s="83" t="s">
        <v>425</v>
      </c>
      <c r="Z61" s="84" t="s">
        <v>101</v>
      </c>
      <c r="AB61" s="87" t="s">
        <v>80</v>
      </c>
      <c r="AF61" s="81" t="s">
        <v>251</v>
      </c>
      <c r="AG61" s="82" t="s">
        <v>290</v>
      </c>
      <c r="AH61" s="82" t="s">
        <v>333</v>
      </c>
      <c r="AI61" s="82" t="s">
        <v>177</v>
      </c>
      <c r="AJ61" s="82" t="s">
        <v>174</v>
      </c>
      <c r="AK61" s="82" t="s">
        <v>7</v>
      </c>
      <c r="AL61" s="82" t="s">
        <v>93</v>
      </c>
      <c r="AM61" s="82" t="s">
        <v>96</v>
      </c>
      <c r="AN61" s="82" t="s">
        <v>216</v>
      </c>
      <c r="AO61" s="82" t="s">
        <v>219</v>
      </c>
      <c r="AP61" s="83" t="s">
        <v>223</v>
      </c>
      <c r="AQ61" s="87" t="s">
        <v>463</v>
      </c>
      <c r="AR61" s="80" t="s">
        <v>101</v>
      </c>
      <c r="AS61" s="216"/>
      <c r="AT61" s="216"/>
      <c r="AU61" s="216"/>
      <c r="AV61" s="216"/>
    </row>
    <row r="62" spans="2:48">
      <c r="B62" s="206" t="e">
        <f>IF(OR(B30=E30,B31=E30,B32=E30),"",E30)</f>
        <v>#N/A</v>
      </c>
      <c r="C62" s="206"/>
      <c r="D62" s="67" t="e">
        <f t="shared" si="7"/>
        <v>#N/A</v>
      </c>
      <c r="E62" s="159"/>
      <c r="F62" s="206"/>
      <c r="G62" s="206"/>
      <c r="H62" s="206"/>
      <c r="I62" s="206"/>
      <c r="J62" s="206"/>
      <c r="K62" s="206"/>
      <c r="S62" s="81" t="s">
        <v>7</v>
      </c>
      <c r="T62" s="82">
        <f t="shared" si="6"/>
        <v>1</v>
      </c>
      <c r="U62" s="82">
        <v>1</v>
      </c>
      <c r="V62" s="82"/>
      <c r="W62" s="82"/>
      <c r="X62" s="82"/>
      <c r="Y62" s="83" t="s">
        <v>557</v>
      </c>
      <c r="Z62" s="84" t="s">
        <v>101</v>
      </c>
      <c r="AB62" s="87" t="s">
        <v>81</v>
      </c>
      <c r="AF62" s="81" t="s">
        <v>284</v>
      </c>
      <c r="AG62" s="82" t="s">
        <v>141</v>
      </c>
      <c r="AH62" s="82" t="s">
        <v>363</v>
      </c>
      <c r="AI62" s="82" t="s">
        <v>303</v>
      </c>
      <c r="AJ62" s="82" t="s">
        <v>197</v>
      </c>
      <c r="AK62" s="86" t="s">
        <v>101</v>
      </c>
      <c r="AL62" s="82" t="s">
        <v>95</v>
      </c>
      <c r="AM62" s="82" t="s">
        <v>215</v>
      </c>
      <c r="AN62" s="82" t="s">
        <v>216</v>
      </c>
      <c r="AO62" s="82" t="s">
        <v>219</v>
      </c>
      <c r="AP62" s="83" t="s">
        <v>224</v>
      </c>
      <c r="AQ62" s="87" t="s">
        <v>491</v>
      </c>
      <c r="AR62" s="80" t="s">
        <v>101</v>
      </c>
      <c r="AS62" s="216" t="s">
        <v>999</v>
      </c>
      <c r="AT62" s="216"/>
      <c r="AU62" s="216"/>
      <c r="AV62" s="216"/>
    </row>
    <row r="63" spans="2:48">
      <c r="B63" s="206" t="e">
        <f>IF(OR(B31=E31,B32=E31,B30=E31),"",E31)</f>
        <v>#N/A</v>
      </c>
      <c r="C63" s="206"/>
      <c r="D63" s="67" t="e">
        <f t="shared" si="7"/>
        <v>#N/A</v>
      </c>
      <c r="E63" s="159"/>
      <c r="F63" s="206"/>
      <c r="G63" s="206"/>
      <c r="H63" s="206"/>
      <c r="I63" s="206"/>
      <c r="J63" s="206"/>
      <c r="K63" s="206"/>
      <c r="S63" s="81" t="s">
        <v>190</v>
      </c>
      <c r="T63" s="82">
        <f t="shared" si="6"/>
        <v>2</v>
      </c>
      <c r="U63" s="82">
        <v>2</v>
      </c>
      <c r="V63" s="82"/>
      <c r="W63" s="82"/>
      <c r="X63" s="82"/>
      <c r="Y63" s="83" t="s">
        <v>558</v>
      </c>
      <c r="Z63" s="84" t="s">
        <v>101</v>
      </c>
      <c r="AB63" s="87" t="s">
        <v>82</v>
      </c>
      <c r="AF63" s="81" t="s">
        <v>285</v>
      </c>
      <c r="AG63" s="82" t="s">
        <v>141</v>
      </c>
      <c r="AH63" s="82" t="s">
        <v>364</v>
      </c>
      <c r="AI63" s="82" t="s">
        <v>292</v>
      </c>
      <c r="AJ63" s="82" t="s">
        <v>7</v>
      </c>
      <c r="AK63" s="86" t="s">
        <v>101</v>
      </c>
      <c r="AL63" s="82" t="s">
        <v>95</v>
      </c>
      <c r="AM63" s="82" t="s">
        <v>215</v>
      </c>
      <c r="AN63" s="82" t="s">
        <v>217</v>
      </c>
      <c r="AO63" s="82" t="s">
        <v>219</v>
      </c>
      <c r="AP63" s="83" t="s">
        <v>224</v>
      </c>
      <c r="AQ63" s="87" t="s">
        <v>563</v>
      </c>
      <c r="AR63" s="80" t="s">
        <v>101</v>
      </c>
      <c r="AS63" s="216"/>
      <c r="AT63" s="216"/>
      <c r="AU63" s="216"/>
      <c r="AV63" s="216"/>
    </row>
    <row r="64" spans="2:48">
      <c r="B64" s="206" t="e">
        <f>IF(B32="","",IF(OR(B32=E32,B30=E32,B31=E32),"",E32))</f>
        <v>#N/A</v>
      </c>
      <c r="C64" s="206"/>
      <c r="D64" s="67" t="e">
        <f t="shared" si="7"/>
        <v>#N/A</v>
      </c>
      <c r="E64" s="159"/>
      <c r="F64" s="206"/>
      <c r="G64" s="206"/>
      <c r="H64" s="206"/>
      <c r="I64" s="206"/>
      <c r="J64" s="206"/>
      <c r="K64" s="206"/>
      <c r="S64" s="81" t="s">
        <v>292</v>
      </c>
      <c r="T64" s="89" t="str">
        <f>IF($B$17=V64,U64,"NO")</f>
        <v>NO</v>
      </c>
      <c r="U64" s="82">
        <v>4</v>
      </c>
      <c r="V64" s="82" t="s">
        <v>141</v>
      </c>
      <c r="W64" s="82" t="s">
        <v>17</v>
      </c>
      <c r="X64" s="82"/>
      <c r="Y64" s="83" t="s">
        <v>569</v>
      </c>
      <c r="Z64" s="84" t="s">
        <v>101</v>
      </c>
      <c r="AB64" s="87" t="s">
        <v>83</v>
      </c>
      <c r="AF64" s="81" t="s">
        <v>252</v>
      </c>
      <c r="AG64" s="82" t="s">
        <v>290</v>
      </c>
      <c r="AH64" s="82" t="s">
        <v>334</v>
      </c>
      <c r="AI64" s="82" t="s">
        <v>189</v>
      </c>
      <c r="AJ64" s="82" t="s">
        <v>1</v>
      </c>
      <c r="AK64" s="86" t="s">
        <v>101</v>
      </c>
      <c r="AL64" s="82" t="s">
        <v>93</v>
      </c>
      <c r="AM64" s="82" t="s">
        <v>215</v>
      </c>
      <c r="AN64" s="82" t="s">
        <v>216</v>
      </c>
      <c r="AO64" s="82" t="s">
        <v>223</v>
      </c>
      <c r="AP64" s="83" t="s">
        <v>224</v>
      </c>
      <c r="AQ64" s="87" t="s">
        <v>464</v>
      </c>
      <c r="AR64" s="80" t="s">
        <v>101</v>
      </c>
      <c r="AS64" s="215" t="s">
        <v>998</v>
      </c>
      <c r="AT64" s="215"/>
      <c r="AU64" s="215"/>
      <c r="AV64" s="215"/>
    </row>
    <row r="65" spans="1:48">
      <c r="B65" s="207" t="e">
        <f>IF(E32="","",IF(OR(B30=E32,B31=E32,B32=E32),"",E32))</f>
        <v>#N/A</v>
      </c>
      <c r="C65" s="207"/>
      <c r="D65" s="67" t="e">
        <f t="shared" si="7"/>
        <v>#N/A</v>
      </c>
      <c r="E65" s="159"/>
      <c r="F65" s="206"/>
      <c r="G65" s="206"/>
      <c r="H65" s="206"/>
      <c r="I65" s="206"/>
      <c r="J65" s="206"/>
      <c r="K65" s="206"/>
      <c r="S65" s="81" t="s">
        <v>191</v>
      </c>
      <c r="T65" s="82">
        <f>U65</f>
        <v>3</v>
      </c>
      <c r="U65" s="82">
        <v>3</v>
      </c>
      <c r="V65" s="82"/>
      <c r="W65" s="82"/>
      <c r="X65" s="82"/>
      <c r="Y65" s="83" t="s">
        <v>432</v>
      </c>
      <c r="Z65" s="84" t="s">
        <v>101</v>
      </c>
      <c r="AB65" s="87" t="s">
        <v>84</v>
      </c>
      <c r="AF65" s="81" t="s">
        <v>273</v>
      </c>
      <c r="AG65" s="82" t="s">
        <v>138</v>
      </c>
      <c r="AH65" s="82" t="s">
        <v>353</v>
      </c>
      <c r="AI65" s="82" t="s">
        <v>194</v>
      </c>
      <c r="AJ65" s="82" t="s">
        <v>194</v>
      </c>
      <c r="AK65" s="82" t="s">
        <v>10</v>
      </c>
      <c r="AL65" s="82" t="s">
        <v>213</v>
      </c>
      <c r="AM65" s="82" t="s">
        <v>214</v>
      </c>
      <c r="AN65" s="82" t="s">
        <v>218</v>
      </c>
      <c r="AO65" s="82" t="s">
        <v>220</v>
      </c>
      <c r="AP65" s="83" t="s">
        <v>221</v>
      </c>
      <c r="AQ65" s="87" t="s">
        <v>481</v>
      </c>
      <c r="AR65" s="80" t="s">
        <v>101</v>
      </c>
      <c r="AU65" s="181"/>
      <c r="AV65" s="181"/>
    </row>
    <row r="66" spans="1:48">
      <c r="E66" s="159"/>
      <c r="F66" s="206"/>
      <c r="G66" s="206"/>
      <c r="H66" s="206"/>
      <c r="I66" s="206"/>
      <c r="J66" s="206"/>
      <c r="K66" s="206"/>
      <c r="M66" s="198" t="s">
        <v>926</v>
      </c>
      <c r="N66" s="198"/>
      <c r="O66" s="198"/>
      <c r="P66" s="198"/>
      <c r="Q66" s="198"/>
      <c r="S66" s="81" t="s">
        <v>192</v>
      </c>
      <c r="T66" s="82">
        <f>U66</f>
        <v>2</v>
      </c>
      <c r="U66" s="82">
        <v>2</v>
      </c>
      <c r="V66" s="82"/>
      <c r="W66" s="82"/>
      <c r="X66" s="82"/>
      <c r="Y66" s="83" t="s">
        <v>405</v>
      </c>
      <c r="Z66" s="84" t="s">
        <v>101</v>
      </c>
      <c r="AB66" s="87" t="s">
        <v>85</v>
      </c>
      <c r="AF66" s="81" t="s">
        <v>289</v>
      </c>
      <c r="AG66" s="82" t="s">
        <v>142</v>
      </c>
      <c r="AH66" s="82" t="s">
        <v>367</v>
      </c>
      <c r="AI66" s="82" t="s">
        <v>194</v>
      </c>
      <c r="AJ66" s="82" t="s">
        <v>194</v>
      </c>
      <c r="AK66" s="82" t="s">
        <v>10</v>
      </c>
      <c r="AL66" s="82" t="s">
        <v>96</v>
      </c>
      <c r="AM66" s="82" t="s">
        <v>214</v>
      </c>
      <c r="AN66" s="82" t="s">
        <v>217</v>
      </c>
      <c r="AO66" s="82" t="s">
        <v>218</v>
      </c>
      <c r="AP66" s="83" t="s">
        <v>221</v>
      </c>
      <c r="AQ66" s="87" t="s">
        <v>493</v>
      </c>
      <c r="AR66" s="80" t="s">
        <v>101</v>
      </c>
      <c r="AS66" s="185" t="str">
        <f>print!B53</f>
        <v/>
      </c>
      <c r="AT66" s="180"/>
      <c r="AU66" s="185" t="str">
        <f>print!B76</f>
        <v/>
      </c>
      <c r="AV66" s="180"/>
    </row>
    <row r="67" spans="1:48">
      <c r="B67" s="210"/>
      <c r="C67" s="210"/>
      <c r="D67" s="67">
        <f t="shared" ref="D67:D74" si="8">IF(B67&lt;&gt;"",VLOOKUP(B67,$S$10:$T$85,2),0)</f>
        <v>0</v>
      </c>
      <c r="E67" s="159"/>
      <c r="F67" s="206"/>
      <c r="G67" s="206"/>
      <c r="H67" s="206"/>
      <c r="I67" s="206"/>
      <c r="J67" s="206"/>
      <c r="K67" s="206"/>
      <c r="N67" s="220"/>
      <c r="O67" s="220"/>
      <c r="P67" s="149">
        <f t="shared" ref="P67:P74" si="9">IF(N67&lt;&gt;"",VLOOKUP(N67,$S$10:$T$85,2),0)</f>
        <v>0</v>
      </c>
      <c r="S67" s="81" t="s">
        <v>8</v>
      </c>
      <c r="T67" s="82">
        <f>U67</f>
        <v>1</v>
      </c>
      <c r="U67" s="82">
        <v>1</v>
      </c>
      <c r="V67" s="82"/>
      <c r="W67" s="82"/>
      <c r="X67" s="82">
        <v>1</v>
      </c>
      <c r="Y67" s="83" t="s">
        <v>1026</v>
      </c>
      <c r="Z67" s="84" t="s">
        <v>101</v>
      </c>
      <c r="AB67" s="87" t="s">
        <v>86</v>
      </c>
      <c r="AF67" s="81" t="s">
        <v>253</v>
      </c>
      <c r="AG67" s="82" t="s">
        <v>290</v>
      </c>
      <c r="AH67" s="82" t="s">
        <v>335</v>
      </c>
      <c r="AI67" s="82" t="s">
        <v>180</v>
      </c>
      <c r="AJ67" s="82" t="s">
        <v>184</v>
      </c>
      <c r="AK67" s="86" t="s">
        <v>101</v>
      </c>
      <c r="AL67" s="82" t="s">
        <v>213</v>
      </c>
      <c r="AM67" s="82" t="s">
        <v>214</v>
      </c>
      <c r="AN67" s="82" t="s">
        <v>216</v>
      </c>
      <c r="AO67" s="82" t="s">
        <v>221</v>
      </c>
      <c r="AP67" s="83" t="s">
        <v>222</v>
      </c>
      <c r="AQ67" s="87" t="s">
        <v>564</v>
      </c>
      <c r="AR67" s="80" t="s">
        <v>101</v>
      </c>
      <c r="AS67" s="222" t="str">
        <f>print!B54</f>
        <v/>
      </c>
      <c r="AT67" s="222"/>
      <c r="AU67" s="222" t="str">
        <f>print!B77</f>
        <v/>
      </c>
      <c r="AV67" s="222"/>
    </row>
    <row r="68" spans="1:48">
      <c r="B68" s="210"/>
      <c r="C68" s="210"/>
      <c r="D68" s="67">
        <f t="shared" si="8"/>
        <v>0</v>
      </c>
      <c r="E68" s="159"/>
      <c r="F68" s="206"/>
      <c r="G68" s="206"/>
      <c r="H68" s="206"/>
      <c r="I68" s="206"/>
      <c r="J68" s="206"/>
      <c r="K68" s="206"/>
      <c r="N68" s="220"/>
      <c r="O68" s="220"/>
      <c r="P68" s="149">
        <f t="shared" si="9"/>
        <v>0</v>
      </c>
      <c r="S68" s="81" t="s">
        <v>193</v>
      </c>
      <c r="T68" s="82">
        <f>U68</f>
        <v>3</v>
      </c>
      <c r="U68" s="82">
        <v>3</v>
      </c>
      <c r="V68" s="82"/>
      <c r="W68" s="82"/>
      <c r="X68" s="82"/>
      <c r="Y68" s="83" t="s">
        <v>559</v>
      </c>
      <c r="Z68" s="84" t="s">
        <v>101</v>
      </c>
      <c r="AB68" s="100" t="s">
        <v>87</v>
      </c>
      <c r="AF68" s="81" t="s">
        <v>280</v>
      </c>
      <c r="AG68" s="82" t="s">
        <v>212</v>
      </c>
      <c r="AH68" s="82" t="s">
        <v>359</v>
      </c>
      <c r="AI68" s="82" t="s">
        <v>194</v>
      </c>
      <c r="AJ68" s="82" t="s">
        <v>194</v>
      </c>
      <c r="AK68" s="82" t="s">
        <v>9</v>
      </c>
      <c r="AL68" s="82" t="s">
        <v>94</v>
      </c>
      <c r="AM68" s="82" t="s">
        <v>215</v>
      </c>
      <c r="AN68" s="82" t="s">
        <v>217</v>
      </c>
      <c r="AO68" s="82" t="s">
        <v>221</v>
      </c>
      <c r="AP68" s="83" t="s">
        <v>222</v>
      </c>
      <c r="AQ68" s="87" t="s">
        <v>488</v>
      </c>
      <c r="AR68" s="80" t="s">
        <v>101</v>
      </c>
      <c r="AS68" s="222"/>
      <c r="AT68" s="222"/>
      <c r="AU68" s="222"/>
      <c r="AV68" s="222"/>
    </row>
    <row r="69" spans="1:48">
      <c r="B69" s="210"/>
      <c r="C69" s="210"/>
      <c r="D69" s="67">
        <f t="shared" si="8"/>
        <v>0</v>
      </c>
      <c r="E69" s="159"/>
      <c r="F69" s="206"/>
      <c r="G69" s="206"/>
      <c r="H69" s="206"/>
      <c r="I69" s="206"/>
      <c r="J69" s="206"/>
      <c r="K69" s="206"/>
      <c r="N69" s="220"/>
      <c r="O69" s="220"/>
      <c r="P69" s="149">
        <f t="shared" si="9"/>
        <v>0</v>
      </c>
      <c r="S69" s="81" t="s">
        <v>194</v>
      </c>
      <c r="T69" s="82">
        <f>U69</f>
        <v>2</v>
      </c>
      <c r="U69" s="82">
        <v>2</v>
      </c>
      <c r="V69" s="82"/>
      <c r="W69" s="82"/>
      <c r="X69" s="82"/>
      <c r="Y69" s="83" t="s">
        <v>406</v>
      </c>
      <c r="Z69" s="84" t="s">
        <v>101</v>
      </c>
      <c r="AF69" s="81" t="s">
        <v>275</v>
      </c>
      <c r="AG69" s="82" t="s">
        <v>211</v>
      </c>
      <c r="AH69" s="82" t="s">
        <v>355</v>
      </c>
      <c r="AI69" s="82" t="s">
        <v>4</v>
      </c>
      <c r="AJ69" s="82" t="s">
        <v>198</v>
      </c>
      <c r="AK69" s="82" t="s">
        <v>157</v>
      </c>
      <c r="AL69" s="82" t="s">
        <v>95</v>
      </c>
      <c r="AM69" s="82" t="s">
        <v>213</v>
      </c>
      <c r="AN69" s="82" t="s">
        <v>214</v>
      </c>
      <c r="AO69" s="82" t="s">
        <v>216</v>
      </c>
      <c r="AP69" s="83" t="s">
        <v>222</v>
      </c>
      <c r="AQ69" s="87" t="s">
        <v>483</v>
      </c>
      <c r="AR69" s="80" t="s">
        <v>101</v>
      </c>
      <c r="AS69" s="222"/>
      <c r="AT69" s="222"/>
      <c r="AU69" s="222"/>
      <c r="AV69" s="222"/>
    </row>
    <row r="70" spans="1:48">
      <c r="B70" s="210"/>
      <c r="C70" s="210"/>
      <c r="D70" s="67">
        <f t="shared" si="8"/>
        <v>0</v>
      </c>
      <c r="E70" s="159"/>
      <c r="F70" s="206"/>
      <c r="G70" s="206"/>
      <c r="H70" s="206"/>
      <c r="I70" s="206"/>
      <c r="J70" s="206"/>
      <c r="K70" s="206"/>
      <c r="N70" s="220"/>
      <c r="O70" s="220"/>
      <c r="P70" s="149">
        <f t="shared" si="9"/>
        <v>0</v>
      </c>
      <c r="S70" s="81" t="s">
        <v>195</v>
      </c>
      <c r="T70" s="96">
        <f>IF($B$17=V70,W70,U70)</f>
        <v>5</v>
      </c>
      <c r="U70" s="82">
        <v>5</v>
      </c>
      <c r="V70" s="82" t="s">
        <v>208</v>
      </c>
      <c r="W70" s="82">
        <v>3</v>
      </c>
      <c r="X70" s="82"/>
      <c r="Y70" s="83" t="s">
        <v>560</v>
      </c>
      <c r="Z70" s="84" t="s">
        <v>101</v>
      </c>
      <c r="AB70" s="102" t="s">
        <v>116</v>
      </c>
      <c r="AF70" s="81" t="s">
        <v>261</v>
      </c>
      <c r="AG70" s="82" t="s">
        <v>136</v>
      </c>
      <c r="AH70" s="82" t="s">
        <v>349</v>
      </c>
      <c r="AI70" s="82" t="s">
        <v>302</v>
      </c>
      <c r="AJ70" s="82" t="s">
        <v>171</v>
      </c>
      <c r="AK70" s="86" t="s">
        <v>101</v>
      </c>
      <c r="AL70" s="82" t="s">
        <v>93</v>
      </c>
      <c r="AM70" s="82" t="s">
        <v>94</v>
      </c>
      <c r="AN70" s="82" t="s">
        <v>95</v>
      </c>
      <c r="AO70" s="82" t="s">
        <v>216</v>
      </c>
      <c r="AP70" s="83" t="s">
        <v>224</v>
      </c>
      <c r="AQ70" s="87" t="s">
        <v>476</v>
      </c>
      <c r="AR70" s="80" t="s">
        <v>101</v>
      </c>
      <c r="AS70" s="222"/>
      <c r="AT70" s="222"/>
      <c r="AU70" s="222"/>
      <c r="AV70" s="222"/>
    </row>
    <row r="71" spans="1:48" ht="15" customHeight="1">
      <c r="B71" s="210"/>
      <c r="C71" s="210"/>
      <c r="D71" s="67">
        <f t="shared" si="8"/>
        <v>0</v>
      </c>
      <c r="E71" s="159"/>
      <c r="F71" s="206"/>
      <c r="G71" s="206"/>
      <c r="H71" s="206"/>
      <c r="I71" s="206"/>
      <c r="J71" s="206"/>
      <c r="K71" s="206"/>
      <c r="N71" s="220"/>
      <c r="O71" s="220"/>
      <c r="P71" s="149">
        <f t="shared" si="9"/>
        <v>0</v>
      </c>
      <c r="S71" s="81" t="s">
        <v>196</v>
      </c>
      <c r="T71" s="82">
        <f>U71</f>
        <v>4</v>
      </c>
      <c r="U71" s="82">
        <v>4</v>
      </c>
      <c r="V71" s="82"/>
      <c r="W71" s="82"/>
      <c r="X71" s="82"/>
      <c r="Y71" s="83" t="s">
        <v>426</v>
      </c>
      <c r="Z71" s="84" t="s">
        <v>101</v>
      </c>
      <c r="AB71" s="79" t="s">
        <v>98</v>
      </c>
      <c r="AF71" s="81" t="s">
        <v>267</v>
      </c>
      <c r="AG71" s="82" t="s">
        <v>263</v>
      </c>
      <c r="AH71" s="82" t="s">
        <v>339</v>
      </c>
      <c r="AI71" s="82" t="s">
        <v>204</v>
      </c>
      <c r="AJ71" s="82" t="s">
        <v>9</v>
      </c>
      <c r="AK71" s="86" t="s">
        <v>101</v>
      </c>
      <c r="AL71" s="82" t="s">
        <v>93</v>
      </c>
      <c r="AM71" s="82" t="s">
        <v>213</v>
      </c>
      <c r="AN71" s="82" t="s">
        <v>216</v>
      </c>
      <c r="AO71" s="82" t="s">
        <v>220</v>
      </c>
      <c r="AP71" s="83" t="s">
        <v>221</v>
      </c>
      <c r="AQ71" s="87" t="s">
        <v>468</v>
      </c>
      <c r="AR71" s="80" t="s">
        <v>101</v>
      </c>
      <c r="AS71" s="222"/>
      <c r="AT71" s="222"/>
      <c r="AU71" s="222"/>
      <c r="AV71" s="222"/>
    </row>
    <row r="72" spans="1:48">
      <c r="B72" s="210"/>
      <c r="C72" s="210"/>
      <c r="D72" s="67">
        <f t="shared" si="8"/>
        <v>0</v>
      </c>
      <c r="E72" s="159"/>
      <c r="F72" s="206"/>
      <c r="G72" s="206"/>
      <c r="H72" s="206"/>
      <c r="I72" s="206"/>
      <c r="J72" s="206"/>
      <c r="K72" s="206"/>
      <c r="N72" s="220"/>
      <c r="O72" s="220"/>
      <c r="P72" s="149">
        <f t="shared" si="9"/>
        <v>0</v>
      </c>
      <c r="S72" s="81" t="s">
        <v>197</v>
      </c>
      <c r="T72" s="96">
        <f>IF($B$17=V72,W72,U72)</f>
        <v>2</v>
      </c>
      <c r="U72" s="82">
        <v>2</v>
      </c>
      <c r="V72" s="82" t="s">
        <v>136</v>
      </c>
      <c r="W72" s="82">
        <v>1</v>
      </c>
      <c r="X72" s="82"/>
      <c r="Y72" s="83" t="s">
        <v>407</v>
      </c>
      <c r="Z72" s="84" t="s">
        <v>101</v>
      </c>
      <c r="AB72" s="87" t="s">
        <v>99</v>
      </c>
      <c r="AF72" s="81" t="s">
        <v>262</v>
      </c>
      <c r="AG72" s="82" t="s">
        <v>136</v>
      </c>
      <c r="AH72" s="82" t="s">
        <v>350</v>
      </c>
      <c r="AI72" s="82" t="s">
        <v>174</v>
      </c>
      <c r="AJ72" s="82" t="s">
        <v>198</v>
      </c>
      <c r="AK72" s="82" t="s">
        <v>7</v>
      </c>
      <c r="AL72" s="82" t="s">
        <v>95</v>
      </c>
      <c r="AM72" s="82" t="s">
        <v>214</v>
      </c>
      <c r="AN72" s="82" t="s">
        <v>219</v>
      </c>
      <c r="AO72" s="82" t="s">
        <v>222</v>
      </c>
      <c r="AP72" s="83" t="s">
        <v>223</v>
      </c>
      <c r="AQ72" s="87" t="s">
        <v>477</v>
      </c>
      <c r="AR72" s="80" t="s">
        <v>101</v>
      </c>
      <c r="AS72" s="222"/>
      <c r="AT72" s="222"/>
      <c r="AU72" s="222"/>
      <c r="AV72" s="222"/>
    </row>
    <row r="73" spans="1:48">
      <c r="B73" s="210"/>
      <c r="C73" s="210"/>
      <c r="D73" s="67">
        <f t="shared" si="8"/>
        <v>0</v>
      </c>
      <c r="E73" s="159"/>
      <c r="F73" s="206"/>
      <c r="G73" s="206"/>
      <c r="H73" s="206"/>
      <c r="I73" s="206"/>
      <c r="J73" s="206"/>
      <c r="K73" s="206"/>
      <c r="N73" s="220"/>
      <c r="O73" s="220"/>
      <c r="P73" s="149">
        <f t="shared" si="9"/>
        <v>0</v>
      </c>
      <c r="S73" s="81" t="s">
        <v>198</v>
      </c>
      <c r="T73" s="82">
        <f>U73</f>
        <v>2</v>
      </c>
      <c r="U73" s="82">
        <v>2</v>
      </c>
      <c r="V73" s="82"/>
      <c r="W73" s="82"/>
      <c r="X73" s="82"/>
      <c r="Y73" s="83" t="s">
        <v>1016</v>
      </c>
      <c r="Z73" s="84" t="s">
        <v>101</v>
      </c>
      <c r="AB73" s="87" t="s">
        <v>225</v>
      </c>
      <c r="AF73" s="81" t="s">
        <v>281</v>
      </c>
      <c r="AG73" s="82" t="s">
        <v>212</v>
      </c>
      <c r="AH73" s="82" t="s">
        <v>360</v>
      </c>
      <c r="AI73" s="82" t="s">
        <v>1</v>
      </c>
      <c r="AJ73" s="82" t="s">
        <v>7</v>
      </c>
      <c r="AK73" s="82" t="s">
        <v>182</v>
      </c>
      <c r="AL73" s="82" t="s">
        <v>94</v>
      </c>
      <c r="AM73" s="82" t="s">
        <v>95</v>
      </c>
      <c r="AN73" s="82" t="s">
        <v>216</v>
      </c>
      <c r="AO73" s="82" t="s">
        <v>219</v>
      </c>
      <c r="AP73" s="83" t="s">
        <v>224</v>
      </c>
      <c r="AQ73" s="87" t="s">
        <v>489</v>
      </c>
      <c r="AR73" s="80" t="s">
        <v>101</v>
      </c>
      <c r="AS73" s="185" t="str">
        <f>print!B56</f>
        <v/>
      </c>
      <c r="AT73" s="180"/>
      <c r="AU73" s="185" t="str">
        <f>print!B79</f>
        <v/>
      </c>
      <c r="AV73" s="180"/>
    </row>
    <row r="74" spans="1:48">
      <c r="B74" s="210"/>
      <c r="C74" s="210"/>
      <c r="D74" s="67">
        <f t="shared" si="8"/>
        <v>0</v>
      </c>
      <c r="E74" s="159"/>
      <c r="F74" s="206"/>
      <c r="G74" s="206"/>
      <c r="H74" s="206"/>
      <c r="I74" s="206"/>
      <c r="J74" s="206"/>
      <c r="K74" s="206"/>
      <c r="N74" s="220"/>
      <c r="O74" s="220"/>
      <c r="P74" s="149">
        <f t="shared" si="9"/>
        <v>0</v>
      </c>
      <c r="S74" s="81" t="s">
        <v>199</v>
      </c>
      <c r="T74" s="96">
        <f>IF($B$17=V74,W74,U74)</f>
        <v>5</v>
      </c>
      <c r="U74" s="82">
        <v>5</v>
      </c>
      <c r="V74" s="82" t="s">
        <v>212</v>
      </c>
      <c r="W74" s="82">
        <v>3</v>
      </c>
      <c r="X74" s="82"/>
      <c r="Y74" s="83" t="s">
        <v>430</v>
      </c>
      <c r="Z74" s="84" t="s">
        <v>101</v>
      </c>
      <c r="AB74" s="87" t="s">
        <v>226</v>
      </c>
      <c r="AF74" s="81" t="s">
        <v>276</v>
      </c>
      <c r="AG74" s="82" t="s">
        <v>211</v>
      </c>
      <c r="AH74" s="82" t="s">
        <v>567</v>
      </c>
      <c r="AI74" s="82" t="s">
        <v>202</v>
      </c>
      <c r="AJ74" s="82" t="s">
        <v>200</v>
      </c>
      <c r="AK74" s="86" t="s">
        <v>101</v>
      </c>
      <c r="AL74" s="82" t="s">
        <v>96</v>
      </c>
      <c r="AM74" s="82" t="s">
        <v>216</v>
      </c>
      <c r="AN74" s="82" t="s">
        <v>218</v>
      </c>
      <c r="AO74" s="82" t="s">
        <v>223</v>
      </c>
      <c r="AP74" s="83" t="s">
        <v>224</v>
      </c>
      <c r="AQ74" s="87" t="s">
        <v>484</v>
      </c>
      <c r="AR74" s="80" t="s">
        <v>101</v>
      </c>
      <c r="AS74" s="222" t="str">
        <f>print!B57</f>
        <v/>
      </c>
      <c r="AT74" s="222"/>
      <c r="AU74" s="222" t="str">
        <f>print!B80</f>
        <v/>
      </c>
      <c r="AV74" s="222"/>
    </row>
    <row r="75" spans="1:48">
      <c r="A75" s="170"/>
      <c r="B75" s="170"/>
      <c r="C75" s="170"/>
      <c r="D75" s="170"/>
      <c r="E75" s="170"/>
      <c r="F75" s="170"/>
      <c r="G75" s="170"/>
      <c r="H75" s="170"/>
      <c r="I75" s="170"/>
      <c r="J75" s="170"/>
      <c r="K75" s="170"/>
      <c r="M75" s="171"/>
      <c r="N75" s="171"/>
      <c r="O75" s="171"/>
      <c r="P75" s="171"/>
      <c r="Q75" s="171"/>
      <c r="S75" s="81" t="s">
        <v>9</v>
      </c>
      <c r="T75" s="82">
        <f>U75</f>
        <v>1</v>
      </c>
      <c r="U75" s="82">
        <v>1</v>
      </c>
      <c r="V75" s="82"/>
      <c r="W75" s="82"/>
      <c r="X75" s="82"/>
      <c r="Y75" s="83" t="s">
        <v>1017</v>
      </c>
      <c r="Z75" s="84" t="s">
        <v>101</v>
      </c>
      <c r="AB75" s="87" t="s">
        <v>227</v>
      </c>
      <c r="AF75" s="92" t="s">
        <v>277</v>
      </c>
      <c r="AG75" s="93" t="s">
        <v>211</v>
      </c>
      <c r="AH75" s="93" t="s">
        <v>356</v>
      </c>
      <c r="AI75" s="93" t="s">
        <v>194</v>
      </c>
      <c r="AJ75" s="93" t="s">
        <v>194</v>
      </c>
      <c r="AK75" s="93" t="s">
        <v>6</v>
      </c>
      <c r="AL75" s="93" t="s">
        <v>94</v>
      </c>
      <c r="AM75" s="93" t="s">
        <v>96</v>
      </c>
      <c r="AN75" s="93" t="s">
        <v>217</v>
      </c>
      <c r="AO75" s="93" t="s">
        <v>220</v>
      </c>
      <c r="AP75" s="94" t="s">
        <v>224</v>
      </c>
      <c r="AQ75" s="100" t="s">
        <v>485</v>
      </c>
      <c r="AR75" s="80" t="s">
        <v>101</v>
      </c>
      <c r="AS75" s="222"/>
      <c r="AT75" s="222"/>
      <c r="AU75" s="222"/>
      <c r="AV75" s="222"/>
    </row>
    <row r="76" spans="1:48">
      <c r="B76" s="71" t="s">
        <v>132</v>
      </c>
      <c r="O76" s="149" t="str">
        <f>IF(O102&lt;&gt;"",VLOOKUP(O102,V92:W111,2),"")</f>
        <v/>
      </c>
      <c r="S76" s="81" t="s">
        <v>200</v>
      </c>
      <c r="T76" s="82">
        <f>U76</f>
        <v>2</v>
      </c>
      <c r="U76" s="82">
        <v>2</v>
      </c>
      <c r="V76" s="82"/>
      <c r="W76" s="82"/>
      <c r="X76" s="82"/>
      <c r="Y76" s="83" t="s">
        <v>408</v>
      </c>
      <c r="Z76" s="84" t="s">
        <v>101</v>
      </c>
      <c r="AB76" s="87" t="s">
        <v>228</v>
      </c>
      <c r="AR76" s="80"/>
      <c r="AS76" s="222"/>
      <c r="AT76" s="222"/>
      <c r="AU76" s="222"/>
      <c r="AV76" s="222"/>
    </row>
    <row r="77" spans="1:48">
      <c r="B77" s="67" t="s">
        <v>382</v>
      </c>
      <c r="G77" s="159" t="s">
        <v>965</v>
      </c>
      <c r="H77" s="159"/>
      <c r="S77" s="81" t="s">
        <v>201</v>
      </c>
      <c r="T77" s="82">
        <f>U77</f>
        <v>3</v>
      </c>
      <c r="U77" s="82">
        <v>3</v>
      </c>
      <c r="V77" s="82"/>
      <c r="W77" s="82"/>
      <c r="X77" s="82"/>
      <c r="Y77" s="83" t="s">
        <v>421</v>
      </c>
      <c r="Z77" s="84" t="s">
        <v>101</v>
      </c>
      <c r="AB77" s="87" t="s">
        <v>546</v>
      </c>
      <c r="AF77" s="103" t="s">
        <v>207</v>
      </c>
      <c r="AG77" s="77" t="s">
        <v>254</v>
      </c>
      <c r="AH77" s="77" t="s">
        <v>101</v>
      </c>
      <c r="AI77" s="77" t="s">
        <v>101</v>
      </c>
      <c r="AJ77" s="78" t="s">
        <v>101</v>
      </c>
      <c r="AR77" s="80"/>
      <c r="AS77" s="222"/>
      <c r="AT77" s="222"/>
      <c r="AU77" s="222"/>
      <c r="AV77" s="222"/>
    </row>
    <row r="78" spans="1:48">
      <c r="B78" s="203"/>
      <c r="C78" s="205"/>
      <c r="D78" s="205"/>
      <c r="E78" s="204"/>
      <c r="G78" s="203"/>
      <c r="H78" s="204"/>
      <c r="S78" s="81" t="s">
        <v>300</v>
      </c>
      <c r="T78" s="91">
        <f>IF($AC$38=1,W78,U78)</f>
        <v>5</v>
      </c>
      <c r="U78" s="82">
        <v>5</v>
      </c>
      <c r="V78" s="82" t="s">
        <v>16</v>
      </c>
      <c r="W78" s="82">
        <v>3</v>
      </c>
      <c r="X78" s="82"/>
      <c r="Y78" s="83" t="s">
        <v>562</v>
      </c>
      <c r="Z78" s="84" t="s">
        <v>101</v>
      </c>
      <c r="AB78" s="87" t="s">
        <v>229</v>
      </c>
      <c r="AF78" s="81" t="s">
        <v>208</v>
      </c>
      <c r="AG78" s="82" t="s">
        <v>255</v>
      </c>
      <c r="AH78" s="82" t="s">
        <v>256</v>
      </c>
      <c r="AI78" s="82" t="s">
        <v>257</v>
      </c>
      <c r="AJ78" s="83" t="s">
        <v>258</v>
      </c>
      <c r="AR78" s="80"/>
      <c r="AS78" s="222"/>
      <c r="AT78" s="222"/>
      <c r="AU78" s="222"/>
      <c r="AV78" s="222"/>
    </row>
    <row r="79" spans="1:48">
      <c r="S79" s="81" t="s">
        <v>10</v>
      </c>
      <c r="T79" s="82">
        <f>U79</f>
        <v>1</v>
      </c>
      <c r="U79" s="82">
        <v>1</v>
      </c>
      <c r="V79" s="82"/>
      <c r="W79" s="82"/>
      <c r="X79" s="82"/>
      <c r="Y79" s="83" t="s">
        <v>391</v>
      </c>
      <c r="Z79" s="84" t="s">
        <v>101</v>
      </c>
      <c r="AB79" s="87" t="s">
        <v>230</v>
      </c>
      <c r="AF79" s="81" t="s">
        <v>136</v>
      </c>
      <c r="AG79" s="82" t="s">
        <v>259</v>
      </c>
      <c r="AH79" s="82" t="s">
        <v>260</v>
      </c>
      <c r="AI79" s="82" t="s">
        <v>261</v>
      </c>
      <c r="AJ79" s="83" t="s">
        <v>262</v>
      </c>
      <c r="AR79" s="80"/>
      <c r="AS79" s="222"/>
      <c r="AT79" s="222"/>
      <c r="AU79" s="222"/>
      <c r="AV79" s="222"/>
    </row>
    <row r="80" spans="1:48">
      <c r="A80" s="159"/>
      <c r="B80" s="67" t="s">
        <v>383</v>
      </c>
      <c r="C80" s="159"/>
      <c r="D80" s="159"/>
      <c r="E80" s="159"/>
      <c r="F80" s="159"/>
      <c r="G80" s="159"/>
      <c r="H80" s="159"/>
      <c r="I80" s="159"/>
      <c r="J80" s="159"/>
      <c r="K80" s="159"/>
      <c r="S80" s="81" t="s">
        <v>202</v>
      </c>
      <c r="T80" s="96">
        <f>IF($B$17=V80,W80,U80)</f>
        <v>5</v>
      </c>
      <c r="U80" s="82">
        <v>5</v>
      </c>
      <c r="V80" s="82" t="s">
        <v>211</v>
      </c>
      <c r="W80" s="82">
        <v>3</v>
      </c>
      <c r="X80" s="82"/>
      <c r="Y80" s="83" t="s">
        <v>431</v>
      </c>
      <c r="Z80" s="84" t="s">
        <v>101</v>
      </c>
      <c r="AB80" s="87" t="s">
        <v>231</v>
      </c>
      <c r="AF80" s="81" t="s">
        <v>263</v>
      </c>
      <c r="AG80" s="82" t="s">
        <v>264</v>
      </c>
      <c r="AH80" s="82" t="s">
        <v>265</v>
      </c>
      <c r="AI80" s="82" t="s">
        <v>266</v>
      </c>
      <c r="AJ80" s="83" t="s">
        <v>267</v>
      </c>
      <c r="AR80" s="80"/>
      <c r="AS80" s="185" t="str">
        <f>print!B59</f>
        <v/>
      </c>
      <c r="AT80" s="180"/>
      <c r="AU80" s="185" t="str">
        <f>print!B82</f>
        <v/>
      </c>
      <c r="AV80" s="180"/>
    </row>
    <row r="81" spans="1:48">
      <c r="A81" s="159"/>
      <c r="B81" s="217"/>
      <c r="C81" s="218"/>
      <c r="D81" s="218"/>
      <c r="E81" s="218"/>
      <c r="F81" s="218"/>
      <c r="G81" s="218"/>
      <c r="H81" s="219"/>
      <c r="I81" s="159"/>
      <c r="J81" s="159"/>
      <c r="K81" s="159"/>
      <c r="S81" s="81" t="s">
        <v>203</v>
      </c>
      <c r="T81" s="82">
        <f>U81</f>
        <v>4</v>
      </c>
      <c r="U81" s="82">
        <v>4</v>
      </c>
      <c r="V81" s="82"/>
      <c r="W81" s="82"/>
      <c r="X81" s="82"/>
      <c r="Y81" s="83" t="s">
        <v>1020</v>
      </c>
      <c r="Z81" s="84" t="s">
        <v>101</v>
      </c>
      <c r="AB81" s="87" t="s">
        <v>232</v>
      </c>
      <c r="AF81" s="81" t="s">
        <v>209</v>
      </c>
      <c r="AG81" s="82" t="s">
        <v>268</v>
      </c>
      <c r="AH81" s="82" t="s">
        <v>101</v>
      </c>
      <c r="AI81" s="82" t="s">
        <v>101</v>
      </c>
      <c r="AJ81" s="83" t="s">
        <v>101</v>
      </c>
      <c r="AR81" s="80"/>
      <c r="AS81" s="222" t="str">
        <f>print!B60</f>
        <v/>
      </c>
      <c r="AT81" s="222"/>
      <c r="AU81" s="222" t="str">
        <f>print!B83</f>
        <v/>
      </c>
      <c r="AV81" s="222"/>
    </row>
    <row r="82" spans="1:48">
      <c r="B82" s="67" t="s">
        <v>384</v>
      </c>
      <c r="N82" s="154" t="s">
        <v>931</v>
      </c>
      <c r="S82" s="81" t="s">
        <v>204</v>
      </c>
      <c r="T82" s="82">
        <f>U82</f>
        <v>4</v>
      </c>
      <c r="U82" s="82">
        <v>4</v>
      </c>
      <c r="V82" s="82"/>
      <c r="W82" s="82"/>
      <c r="X82" s="82">
        <v>1</v>
      </c>
      <c r="Y82" s="83" t="s">
        <v>1018</v>
      </c>
      <c r="Z82" s="84" t="s">
        <v>101</v>
      </c>
      <c r="AB82" s="87" t="s">
        <v>233</v>
      </c>
      <c r="AF82" s="81" t="s">
        <v>210</v>
      </c>
      <c r="AG82" s="82" t="s">
        <v>269</v>
      </c>
      <c r="AH82" s="82" t="s">
        <v>101</v>
      </c>
      <c r="AI82" s="82" t="s">
        <v>101</v>
      </c>
      <c r="AJ82" s="83" t="s">
        <v>101</v>
      </c>
      <c r="AS82" s="222"/>
      <c r="AT82" s="222"/>
      <c r="AU82" s="222"/>
      <c r="AV82" s="222"/>
    </row>
    <row r="83" spans="1:48">
      <c r="B83" s="203"/>
      <c r="C83" s="205"/>
      <c r="D83" s="205"/>
      <c r="E83" s="205"/>
      <c r="F83" s="205"/>
      <c r="G83" s="205"/>
      <c r="H83" s="204"/>
      <c r="N83" s="226" t="s">
        <v>932</v>
      </c>
      <c r="O83" s="226"/>
      <c r="P83" s="158"/>
      <c r="S83" s="81" t="s">
        <v>205</v>
      </c>
      <c r="T83" s="82">
        <f>U83</f>
        <v>2</v>
      </c>
      <c r="U83" s="82">
        <v>2</v>
      </c>
      <c r="V83" s="82"/>
      <c r="W83" s="82"/>
      <c r="X83" s="82"/>
      <c r="Y83" s="83" t="s">
        <v>409</v>
      </c>
      <c r="Z83" s="84" t="s">
        <v>101</v>
      </c>
      <c r="AB83" s="87" t="s">
        <v>234</v>
      </c>
      <c r="AF83" s="81" t="s">
        <v>138</v>
      </c>
      <c r="AG83" s="82" t="s">
        <v>270</v>
      </c>
      <c r="AH83" s="82" t="s">
        <v>271</v>
      </c>
      <c r="AI83" s="82" t="s">
        <v>272</v>
      </c>
      <c r="AJ83" s="83" t="s">
        <v>273</v>
      </c>
      <c r="AS83" s="222"/>
      <c r="AT83" s="222"/>
      <c r="AU83" s="222"/>
      <c r="AV83" s="222"/>
    </row>
    <row r="84" spans="1:48">
      <c r="B84" s="67" t="s">
        <v>385</v>
      </c>
      <c r="N84" s="149" t="s">
        <v>933</v>
      </c>
      <c r="S84" s="81" t="s">
        <v>206</v>
      </c>
      <c r="T84" s="82">
        <f>U84</f>
        <v>3</v>
      </c>
      <c r="U84" s="82">
        <v>3</v>
      </c>
      <c r="V84" s="82"/>
      <c r="W84" s="82"/>
      <c r="X84" s="82"/>
      <c r="Y84" s="83" t="s">
        <v>565</v>
      </c>
      <c r="Z84" s="84" t="s">
        <v>101</v>
      </c>
      <c r="AB84" s="87" t="s">
        <v>235</v>
      </c>
      <c r="AF84" s="81" t="s">
        <v>211</v>
      </c>
      <c r="AG84" s="82" t="s">
        <v>274</v>
      </c>
      <c r="AH84" s="82" t="s">
        <v>275</v>
      </c>
      <c r="AI84" s="82" t="s">
        <v>276</v>
      </c>
      <c r="AJ84" s="83" t="s">
        <v>277</v>
      </c>
      <c r="AS84" s="222"/>
      <c r="AT84" s="222"/>
      <c r="AU84" s="222"/>
      <c r="AV84" s="222"/>
    </row>
    <row r="85" spans="1:48">
      <c r="B85" s="203"/>
      <c r="C85" s="205"/>
      <c r="D85" s="205"/>
      <c r="E85" s="205"/>
      <c r="F85" s="205"/>
      <c r="G85" s="205"/>
      <c r="H85" s="204"/>
      <c r="N85" s="226" t="s">
        <v>934</v>
      </c>
      <c r="O85" s="226"/>
      <c r="P85" s="158"/>
      <c r="S85" s="92" t="s">
        <v>301</v>
      </c>
      <c r="T85" s="104">
        <f>IF($B$17=V85,W85,U85)</f>
        <v>5</v>
      </c>
      <c r="U85" s="93">
        <v>5</v>
      </c>
      <c r="V85" s="93" t="s">
        <v>142</v>
      </c>
      <c r="W85" s="93">
        <v>3</v>
      </c>
      <c r="X85" s="93"/>
      <c r="Y85" s="94" t="s">
        <v>566</v>
      </c>
      <c r="Z85" s="84" t="s">
        <v>101</v>
      </c>
      <c r="AB85" s="87" t="s">
        <v>236</v>
      </c>
      <c r="AF85" s="81" t="s">
        <v>212</v>
      </c>
      <c r="AG85" s="82" t="s">
        <v>278</v>
      </c>
      <c r="AH85" s="82" t="s">
        <v>279</v>
      </c>
      <c r="AI85" s="82" t="s">
        <v>280</v>
      </c>
      <c r="AJ85" s="83" t="s">
        <v>281</v>
      </c>
      <c r="AS85" s="222"/>
      <c r="AT85" s="222"/>
      <c r="AU85" s="222"/>
      <c r="AV85" s="222"/>
    </row>
    <row r="86" spans="1:48">
      <c r="N86" s="226" t="s">
        <v>935</v>
      </c>
      <c r="O86" s="226"/>
      <c r="P86" s="151">
        <f>P83-P85</f>
        <v>0</v>
      </c>
      <c r="AB86" s="87" t="s">
        <v>237</v>
      </c>
      <c r="AF86" s="81" t="s">
        <v>141</v>
      </c>
      <c r="AG86" s="82" t="s">
        <v>282</v>
      </c>
      <c r="AH86" s="82" t="s">
        <v>283</v>
      </c>
      <c r="AI86" s="82" t="s">
        <v>284</v>
      </c>
      <c r="AJ86" s="83" t="s">
        <v>285</v>
      </c>
      <c r="AS86" s="222"/>
      <c r="AT86" s="222"/>
      <c r="AU86" s="222"/>
      <c r="AV86" s="222"/>
    </row>
    <row r="87" spans="1:48">
      <c r="S87" s="81" t="s">
        <v>292</v>
      </c>
      <c r="T87" s="69">
        <f>COUNTIF(N67:O74,S87)+COUNTIF(B60:C74,S87)</f>
        <v>0</v>
      </c>
      <c r="V87" s="83" t="s">
        <v>568</v>
      </c>
      <c r="Z87" s="84" t="s">
        <v>101</v>
      </c>
      <c r="AB87" s="87" t="s">
        <v>238</v>
      </c>
      <c r="AF87" s="92" t="s">
        <v>142</v>
      </c>
      <c r="AG87" s="93" t="s">
        <v>286</v>
      </c>
      <c r="AH87" s="93" t="s">
        <v>287</v>
      </c>
      <c r="AI87" s="93" t="s">
        <v>288</v>
      </c>
      <c r="AJ87" s="94" t="s">
        <v>289</v>
      </c>
      <c r="AS87" s="185" t="str">
        <f>print!B62</f>
        <v/>
      </c>
      <c r="AT87" s="180"/>
      <c r="AU87" s="185" t="str">
        <f>print!B85</f>
        <v/>
      </c>
      <c r="AV87" s="180"/>
    </row>
    <row r="88" spans="1:48">
      <c r="B88" s="71" t="s">
        <v>133</v>
      </c>
      <c r="F88" s="71" t="s">
        <v>148</v>
      </c>
      <c r="AB88" s="87" t="s">
        <v>239</v>
      </c>
      <c r="AS88" s="222" t="str">
        <f>print!B63</f>
        <v/>
      </c>
      <c r="AT88" s="222"/>
      <c r="AU88" s="222" t="str">
        <f>print!B86</f>
        <v/>
      </c>
      <c r="AV88" s="222"/>
    </row>
    <row r="89" spans="1:48">
      <c r="B89" s="203"/>
      <c r="C89" s="204"/>
      <c r="F89" s="203"/>
      <c r="G89" s="204"/>
      <c r="AB89" s="87" t="s">
        <v>240</v>
      </c>
      <c r="AF89" s="99" t="s">
        <v>90</v>
      </c>
      <c r="AG89" s="84" t="s">
        <v>101</v>
      </c>
      <c r="AH89" s="99" t="s">
        <v>617</v>
      </c>
      <c r="AS89" s="222"/>
      <c r="AT89" s="222"/>
      <c r="AU89" s="222"/>
      <c r="AV89" s="222"/>
    </row>
    <row r="90" spans="1:48">
      <c r="S90" s="75" t="s">
        <v>18</v>
      </c>
      <c r="T90" s="77"/>
      <c r="U90" s="77"/>
      <c r="V90" s="77"/>
      <c r="W90" s="77"/>
      <c r="X90" s="78"/>
      <c r="AB90" s="87" t="s">
        <v>241</v>
      </c>
      <c r="AF90" s="87" t="s">
        <v>144</v>
      </c>
      <c r="AG90" s="84" t="s">
        <v>101</v>
      </c>
      <c r="AH90" s="87" t="s">
        <v>582</v>
      </c>
      <c r="AS90" s="222"/>
      <c r="AT90" s="222"/>
      <c r="AU90" s="222"/>
      <c r="AV90" s="222"/>
    </row>
    <row r="91" spans="1:48">
      <c r="B91" s="71" t="s">
        <v>88</v>
      </c>
      <c r="D91" s="67" t="str">
        <f>IF(COUNTIF($B$60:$C$74,$S$46),"","one per wits")</f>
        <v>one per wits</v>
      </c>
      <c r="G91" s="71" t="s">
        <v>377</v>
      </c>
      <c r="S91" s="105" t="s">
        <v>130</v>
      </c>
      <c r="T91" s="82"/>
      <c r="U91" s="82"/>
      <c r="V91" s="106" t="s">
        <v>131</v>
      </c>
      <c r="W91" s="82"/>
      <c r="X91" s="83"/>
      <c r="Y91" s="84" t="s">
        <v>101</v>
      </c>
      <c r="AB91" s="87" t="s">
        <v>242</v>
      </c>
      <c r="AF91" s="87" t="s">
        <v>293</v>
      </c>
      <c r="AG91" s="84" t="s">
        <v>101</v>
      </c>
      <c r="AH91" s="87" t="s">
        <v>584</v>
      </c>
      <c r="AS91" s="222"/>
      <c r="AT91" s="222"/>
      <c r="AU91" s="222"/>
      <c r="AV91" s="222"/>
    </row>
    <row r="92" spans="1:48">
      <c r="B92" s="67" t="str">
        <f>IF(COUNTIF($B$60:$C$74,$S$46),"--",AB21)</f>
        <v>Old Thean</v>
      </c>
      <c r="D92" s="169" t="str">
        <f>IF(COUNTIF($B$60:$C$74,$S$46),"","points left")</f>
        <v>points left</v>
      </c>
      <c r="E92" s="74">
        <f>IF(COUNTIF($B$60:$C$74,$S$46),"",F13-2-COUNTA(B94:B96))</f>
        <v>0</v>
      </c>
      <c r="G92" s="203"/>
      <c r="H92" s="204"/>
      <c r="S92" s="81" t="s">
        <v>53</v>
      </c>
      <c r="T92" s="82" t="s">
        <v>52</v>
      </c>
      <c r="U92" s="82" t="s">
        <v>509</v>
      </c>
      <c r="V92" s="82" t="s">
        <v>27</v>
      </c>
      <c r="W92" s="82" t="s">
        <v>25</v>
      </c>
      <c r="X92" s="83" t="s">
        <v>499</v>
      </c>
      <c r="Y92" s="84" t="s">
        <v>101</v>
      </c>
      <c r="AB92" s="87" t="s">
        <v>243</v>
      </c>
      <c r="AF92" s="87" t="s">
        <v>294</v>
      </c>
      <c r="AG92" s="84" t="s">
        <v>101</v>
      </c>
      <c r="AH92" s="87" t="s">
        <v>607</v>
      </c>
      <c r="AS92" s="222"/>
      <c r="AT92" s="222"/>
      <c r="AU92" s="222"/>
      <c r="AV92" s="222"/>
    </row>
    <row r="93" spans="1:48">
      <c r="B93" s="67" t="e">
        <f>IF(COUNTIF($B$60:$C$74,$S$46),"--",VLOOKUP(B17,AB22:AC31,2))</f>
        <v>#N/A</v>
      </c>
      <c r="C93" s="71" t="str">
        <f>IF(COUNTIF($B$60:$C$74,$S$46),"All languages known","")</f>
        <v/>
      </c>
      <c r="S93" s="81" t="s">
        <v>50</v>
      </c>
      <c r="T93" s="82" t="s">
        <v>49</v>
      </c>
      <c r="U93" s="82" t="s">
        <v>523</v>
      </c>
      <c r="V93" s="82" t="s">
        <v>39</v>
      </c>
      <c r="W93" s="82" t="s">
        <v>37</v>
      </c>
      <c r="X93" s="83" t="s">
        <v>504</v>
      </c>
      <c r="Y93" s="84" t="s">
        <v>101</v>
      </c>
      <c r="AB93" s="87" t="s">
        <v>244</v>
      </c>
      <c r="AF93" s="87" t="s">
        <v>1031</v>
      </c>
      <c r="AG93" s="84" t="s">
        <v>101</v>
      </c>
      <c r="AH93" s="87" t="s">
        <v>608</v>
      </c>
      <c r="AS93" s="222"/>
      <c r="AT93" s="222"/>
      <c r="AU93" s="222"/>
      <c r="AV93" s="222"/>
    </row>
    <row r="94" spans="1:48">
      <c r="B94" s="55"/>
      <c r="S94" s="81" t="s">
        <v>35</v>
      </c>
      <c r="T94" s="82" t="s">
        <v>34</v>
      </c>
      <c r="U94" s="107" t="s">
        <v>525</v>
      </c>
      <c r="V94" s="82" t="s">
        <v>69</v>
      </c>
      <c r="W94" s="82" t="s">
        <v>67</v>
      </c>
      <c r="X94" s="83" t="s">
        <v>520</v>
      </c>
      <c r="Y94" s="84" t="s">
        <v>101</v>
      </c>
      <c r="AB94" s="87" t="s">
        <v>245</v>
      </c>
      <c r="AF94" s="87" t="s">
        <v>295</v>
      </c>
      <c r="AG94" s="84" t="s">
        <v>101</v>
      </c>
      <c r="AH94" s="87" t="s">
        <v>609</v>
      </c>
      <c r="AS94" s="185" t="str">
        <f>print!B65</f>
        <v/>
      </c>
      <c r="AT94" s="180"/>
      <c r="AU94" s="185" t="str">
        <f>print!B88</f>
        <v/>
      </c>
      <c r="AV94" s="180"/>
    </row>
    <row r="95" spans="1:48">
      <c r="B95" s="55"/>
      <c r="S95" s="81" t="s">
        <v>56</v>
      </c>
      <c r="T95" s="82" t="s">
        <v>55</v>
      </c>
      <c r="U95" s="107" t="s">
        <v>526</v>
      </c>
      <c r="V95" s="82" t="s">
        <v>60</v>
      </c>
      <c r="W95" s="82" t="s">
        <v>58</v>
      </c>
      <c r="X95" s="83" t="s">
        <v>513</v>
      </c>
      <c r="Y95" s="84" t="s">
        <v>101</v>
      </c>
      <c r="AB95" s="87" t="s">
        <v>246</v>
      </c>
      <c r="AF95" s="87" t="s">
        <v>296</v>
      </c>
      <c r="AG95" s="84" t="s">
        <v>101</v>
      </c>
      <c r="AH95" s="87" t="s">
        <v>610</v>
      </c>
      <c r="AS95" s="222" t="str">
        <f>print!B66</f>
        <v/>
      </c>
      <c r="AT95" s="222"/>
      <c r="AU95" s="222" t="str">
        <f>print!B89</f>
        <v/>
      </c>
      <c r="AV95" s="222"/>
    </row>
    <row r="96" spans="1:48">
      <c r="B96" s="55"/>
      <c r="S96" s="81" t="s">
        <v>77</v>
      </c>
      <c r="T96" s="82" t="s">
        <v>76</v>
      </c>
      <c r="U96" s="107" t="s">
        <v>528</v>
      </c>
      <c r="V96" s="82" t="s">
        <v>21</v>
      </c>
      <c r="W96" s="82" t="s">
        <v>19</v>
      </c>
      <c r="X96" s="83" t="s">
        <v>495</v>
      </c>
      <c r="Y96" s="84" t="s">
        <v>101</v>
      </c>
      <c r="AA96" s="84" t="s">
        <v>101</v>
      </c>
      <c r="AB96" s="87" t="s">
        <v>247</v>
      </c>
      <c r="AF96" s="87" t="s">
        <v>297</v>
      </c>
      <c r="AG96" s="84" t="s">
        <v>101</v>
      </c>
      <c r="AH96" s="87" t="s">
        <v>611</v>
      </c>
      <c r="AS96" s="222"/>
      <c r="AT96" s="222"/>
      <c r="AU96" s="222"/>
      <c r="AV96" s="222"/>
    </row>
    <row r="97" spans="1:48">
      <c r="A97" s="170"/>
      <c r="B97" s="170"/>
      <c r="C97" s="170"/>
      <c r="D97" s="170"/>
      <c r="E97" s="170"/>
      <c r="F97" s="170"/>
      <c r="G97" s="170"/>
      <c r="H97" s="170"/>
      <c r="I97" s="170"/>
      <c r="J97" s="170"/>
      <c r="K97" s="170"/>
      <c r="M97" s="171"/>
      <c r="N97" s="171"/>
      <c r="O97" s="171"/>
      <c r="P97" s="171"/>
      <c r="Q97" s="171"/>
      <c r="S97" s="81" t="s">
        <v>71</v>
      </c>
      <c r="T97" s="82" t="s">
        <v>70</v>
      </c>
      <c r="U97" s="107" t="s">
        <v>518</v>
      </c>
      <c r="V97" s="82" t="s">
        <v>42</v>
      </c>
      <c r="W97" s="82" t="s">
        <v>40</v>
      </c>
      <c r="X97" s="83" t="s">
        <v>506</v>
      </c>
      <c r="Y97" s="84" t="s">
        <v>101</v>
      </c>
      <c r="AB97" s="87" t="s">
        <v>248</v>
      </c>
      <c r="AF97" s="87" t="s">
        <v>298</v>
      </c>
      <c r="AG97" s="84" t="s">
        <v>101</v>
      </c>
      <c r="AH97" s="87" t="s">
        <v>612</v>
      </c>
      <c r="AS97" s="222"/>
      <c r="AT97" s="222"/>
      <c r="AU97" s="222"/>
      <c r="AV97" s="222"/>
    </row>
    <row r="98" spans="1:48" ht="18.75">
      <c r="A98" s="170"/>
      <c r="B98" s="72" t="s">
        <v>18</v>
      </c>
      <c r="F98" s="170"/>
      <c r="G98" s="170"/>
      <c r="H98" s="170"/>
      <c r="I98" s="170"/>
      <c r="J98" s="170"/>
      <c r="K98" s="170"/>
      <c r="M98" s="149" t="s">
        <v>928</v>
      </c>
      <c r="Q98" s="171"/>
      <c r="S98" s="81" t="s">
        <v>68</v>
      </c>
      <c r="T98" s="82" t="s">
        <v>67</v>
      </c>
      <c r="U98" s="107" t="s">
        <v>517</v>
      </c>
      <c r="V98" s="82" t="s">
        <v>72</v>
      </c>
      <c r="W98" s="82" t="s">
        <v>70</v>
      </c>
      <c r="X98" s="83" t="s">
        <v>519</v>
      </c>
      <c r="Y98" s="84" t="s">
        <v>101</v>
      </c>
      <c r="AB98" s="87" t="s">
        <v>249</v>
      </c>
      <c r="AF98" s="87" t="s">
        <v>299</v>
      </c>
      <c r="AG98" s="84" t="s">
        <v>101</v>
      </c>
      <c r="AH98" s="87" t="s">
        <v>613</v>
      </c>
      <c r="AS98" s="222"/>
      <c r="AT98" s="222"/>
      <c r="AU98" s="222"/>
      <c r="AV98" s="222"/>
    </row>
    <row r="99" spans="1:48">
      <c r="A99" s="170"/>
      <c r="B99" s="67" t="s">
        <v>130</v>
      </c>
      <c r="C99" s="203"/>
      <c r="D99" s="204"/>
      <c r="E99" s="67" t="str">
        <f>IF(C99&lt;&gt;"",VLOOKUP(C99,S92:T111,2),"")</f>
        <v/>
      </c>
      <c r="F99" s="170"/>
      <c r="G99" s="221" t="e">
        <f>print!B12</f>
        <v>#N/A</v>
      </c>
      <c r="H99" s="221"/>
      <c r="I99" s="221"/>
      <c r="J99" s="221"/>
      <c r="K99" s="221"/>
      <c r="N99" s="153" t="s">
        <v>929</v>
      </c>
      <c r="O99" s="220"/>
      <c r="P99" s="220"/>
      <c r="Q99" s="171"/>
      <c r="S99" s="81" t="s">
        <v>32</v>
      </c>
      <c r="T99" s="82" t="s">
        <v>31</v>
      </c>
      <c r="U99" s="107" t="s">
        <v>500</v>
      </c>
      <c r="V99" s="82" t="s">
        <v>78</v>
      </c>
      <c r="W99" s="82" t="s">
        <v>76</v>
      </c>
      <c r="X99" s="83" t="s">
        <v>529</v>
      </c>
      <c r="Y99" s="84" t="s">
        <v>101</v>
      </c>
      <c r="AB99" s="87" t="s">
        <v>250</v>
      </c>
      <c r="AF99" s="100" t="s">
        <v>531</v>
      </c>
      <c r="AG99" s="84" t="s">
        <v>101</v>
      </c>
      <c r="AH99" s="87" t="s">
        <v>614</v>
      </c>
      <c r="AS99" s="222"/>
      <c r="AT99" s="222"/>
      <c r="AU99" s="222"/>
      <c r="AV99" s="222"/>
    </row>
    <row r="100" spans="1:48">
      <c r="A100" s="170"/>
      <c r="B100" s="67" t="s">
        <v>131</v>
      </c>
      <c r="C100" s="208"/>
      <c r="D100" s="209"/>
      <c r="E100" s="67" t="str">
        <f>IF(C100&lt;&gt;"",VLOOKUP(C100,V92:W111,2),"")</f>
        <v/>
      </c>
      <c r="F100" s="170"/>
      <c r="G100" s="221"/>
      <c r="H100" s="221"/>
      <c r="I100" s="221"/>
      <c r="J100" s="221"/>
      <c r="K100" s="221"/>
      <c r="O100" s="149" t="str">
        <f>IF(O99&lt;&gt;"",VLOOKUP(O99,S92:T111,2),"")</f>
        <v/>
      </c>
      <c r="Q100" s="171"/>
      <c r="S100" s="81" t="s">
        <v>23</v>
      </c>
      <c r="T100" s="82" t="s">
        <v>22</v>
      </c>
      <c r="U100" s="107" t="s">
        <v>496</v>
      </c>
      <c r="V100" s="82" t="s">
        <v>51</v>
      </c>
      <c r="W100" s="82" t="s">
        <v>49</v>
      </c>
      <c r="X100" s="83" t="s">
        <v>508</v>
      </c>
      <c r="Y100" s="84" t="s">
        <v>101</v>
      </c>
      <c r="AB100" s="87" t="s">
        <v>251</v>
      </c>
      <c r="AG100" s="84" t="s">
        <v>101</v>
      </c>
      <c r="AH100" s="87" t="s">
        <v>615</v>
      </c>
      <c r="AS100" s="222"/>
      <c r="AT100" s="222"/>
      <c r="AU100" s="222"/>
      <c r="AV100" s="222"/>
    </row>
    <row r="101" spans="1:48">
      <c r="G101" s="221"/>
      <c r="H101" s="221"/>
      <c r="I101" s="221"/>
      <c r="J101" s="221"/>
      <c r="K101" s="221"/>
      <c r="S101" s="81" t="s">
        <v>62</v>
      </c>
      <c r="T101" s="82" t="s">
        <v>61</v>
      </c>
      <c r="U101" s="107" t="s">
        <v>514</v>
      </c>
      <c r="V101" s="82" t="s">
        <v>48</v>
      </c>
      <c r="W101" s="82" t="s">
        <v>46</v>
      </c>
      <c r="X101" s="83" t="s">
        <v>507</v>
      </c>
      <c r="Y101" s="84" t="s">
        <v>101</v>
      </c>
      <c r="AB101" s="87" t="s">
        <v>252</v>
      </c>
      <c r="AH101" s="100" t="s">
        <v>616</v>
      </c>
      <c r="AS101" s="185" t="str">
        <f>print!B68</f>
        <v/>
      </c>
      <c r="AT101" s="180"/>
      <c r="AU101" s="185" t="str">
        <f>print!B91</f>
        <v/>
      </c>
      <c r="AV101" s="180"/>
    </row>
    <row r="102" spans="1:48">
      <c r="B102" s="71" t="s">
        <v>90</v>
      </c>
      <c r="N102" s="153" t="s">
        <v>930</v>
      </c>
      <c r="O102" s="220"/>
      <c r="P102" s="220"/>
      <c r="S102" s="81" t="s">
        <v>38</v>
      </c>
      <c r="T102" s="82" t="s">
        <v>37</v>
      </c>
      <c r="U102" s="107" t="s">
        <v>503</v>
      </c>
      <c r="V102" s="82" t="s">
        <v>45</v>
      </c>
      <c r="W102" s="82" t="s">
        <v>43</v>
      </c>
      <c r="X102" s="83" t="s">
        <v>533</v>
      </c>
      <c r="Y102" s="84" t="s">
        <v>101</v>
      </c>
      <c r="AB102" s="87" t="s">
        <v>253</v>
      </c>
      <c r="AS102" s="222" t="str">
        <f>print!B69</f>
        <v/>
      </c>
      <c r="AT102" s="222"/>
      <c r="AU102" s="222" t="str">
        <f>print!B92</f>
        <v/>
      </c>
      <c r="AV102" s="222"/>
    </row>
    <row r="103" spans="1:48">
      <c r="B103" s="203"/>
      <c r="C103" s="204"/>
      <c r="G103" s="221" t="e">
        <f>print!B15</f>
        <v>#N/A</v>
      </c>
      <c r="H103" s="221"/>
      <c r="I103" s="221"/>
      <c r="J103" s="221"/>
      <c r="K103" s="221"/>
      <c r="S103" s="81" t="s">
        <v>65</v>
      </c>
      <c r="T103" s="82" t="s">
        <v>64</v>
      </c>
      <c r="U103" s="82" t="s">
        <v>515</v>
      </c>
      <c r="V103" s="82" t="s">
        <v>66</v>
      </c>
      <c r="W103" s="82" t="s">
        <v>64</v>
      </c>
      <c r="X103" s="83" t="s">
        <v>516</v>
      </c>
      <c r="Y103" s="84" t="s">
        <v>101</v>
      </c>
      <c r="AB103" s="79" t="e">
        <f>IF($AC$38=0,VLOOKUP($B$17,$AF$77:$AJ$87,2),AG80)</f>
        <v>#N/A</v>
      </c>
      <c r="AS103" s="222"/>
      <c r="AT103" s="222"/>
      <c r="AU103" s="222"/>
      <c r="AV103" s="222"/>
    </row>
    <row r="104" spans="1:48">
      <c r="G104" s="221"/>
      <c r="H104" s="221"/>
      <c r="I104" s="221"/>
      <c r="J104" s="221"/>
      <c r="K104" s="221"/>
      <c r="S104" s="81" t="s">
        <v>41</v>
      </c>
      <c r="T104" s="82" t="s">
        <v>40</v>
      </c>
      <c r="U104" s="107" t="s">
        <v>505</v>
      </c>
      <c r="V104" s="82" t="s">
        <v>63</v>
      </c>
      <c r="W104" s="82" t="s">
        <v>61</v>
      </c>
      <c r="X104" s="83" t="s">
        <v>534</v>
      </c>
      <c r="Y104" s="84" t="s">
        <v>101</v>
      </c>
      <c r="AB104" s="87" t="e">
        <f>IF($AC$38=0,VLOOKUP($B$17,$AF$77:$AJ$87,3),AH80)</f>
        <v>#N/A</v>
      </c>
      <c r="AS104" s="222"/>
      <c r="AT104" s="222"/>
      <c r="AU104" s="222"/>
      <c r="AV104" s="222"/>
    </row>
    <row r="105" spans="1:48" ht="15" customHeight="1">
      <c r="B105" s="71" t="s">
        <v>707</v>
      </c>
      <c r="E105" s="108" t="s">
        <v>714</v>
      </c>
      <c r="F105" s="109">
        <f>COUNTIF(N67:O74,S26)+COUNTIF(B60:C74,S26)</f>
        <v>0</v>
      </c>
      <c r="G105" s="221"/>
      <c r="H105" s="221"/>
      <c r="I105" s="221"/>
      <c r="J105" s="221"/>
      <c r="K105" s="221"/>
      <c r="S105" s="81" t="s">
        <v>44</v>
      </c>
      <c r="T105" s="82" t="s">
        <v>43</v>
      </c>
      <c r="U105" s="107" t="s">
        <v>535</v>
      </c>
      <c r="V105" s="82" t="s">
        <v>54</v>
      </c>
      <c r="W105" s="82" t="s">
        <v>52</v>
      </c>
      <c r="X105" s="83" t="s">
        <v>510</v>
      </c>
      <c r="Y105" s="84" t="s">
        <v>101</v>
      </c>
      <c r="AB105" s="87" t="e">
        <f>IF($AC$38=0,VLOOKUP($B$17,$AF$77:$AJ$87,4),AI80)</f>
        <v>#N/A</v>
      </c>
      <c r="AF105" s="223" t="s">
        <v>713</v>
      </c>
      <c r="AG105" s="224"/>
      <c r="AS105" s="222"/>
      <c r="AT105" s="222"/>
      <c r="AU105" s="222"/>
      <c r="AV105" s="222"/>
    </row>
    <row r="106" spans="1:48">
      <c r="B106" s="203"/>
      <c r="C106" s="204"/>
      <c r="E106" s="67" t="e">
        <f>VLOOKUP(B106,styles!$B$3:$D$14,2)</f>
        <v>#N/A</v>
      </c>
      <c r="S106" s="81" t="s">
        <v>29</v>
      </c>
      <c r="T106" s="82" t="s">
        <v>28</v>
      </c>
      <c r="U106" s="107" t="s">
        <v>537</v>
      </c>
      <c r="V106" s="82" t="s">
        <v>30</v>
      </c>
      <c r="W106" s="82" t="s">
        <v>28</v>
      </c>
      <c r="X106" s="83" t="s">
        <v>521</v>
      </c>
      <c r="Y106" s="84" t="s">
        <v>101</v>
      </c>
      <c r="AB106" s="87" t="e">
        <f>IF($AC$38=0,VLOOKUP($B$17,$AF$77:$AJ$87,5),AJ80)</f>
        <v>#N/A</v>
      </c>
      <c r="AF106" s="85" t="s">
        <v>709</v>
      </c>
      <c r="AG106" s="83">
        <v>1</v>
      </c>
      <c r="AS106" s="222"/>
      <c r="AT106" s="222"/>
      <c r="AU106" s="222"/>
      <c r="AV106" s="222"/>
    </row>
    <row r="107" spans="1:48">
      <c r="B107" s="203"/>
      <c r="C107" s="204"/>
      <c r="E107" s="67" t="e">
        <f>VLOOKUP(B107,styles!$B$3:$D$14,2)</f>
        <v>#N/A</v>
      </c>
      <c r="S107" s="81" t="s">
        <v>59</v>
      </c>
      <c r="T107" s="82" t="s">
        <v>58</v>
      </c>
      <c r="U107" s="107" t="s">
        <v>512</v>
      </c>
      <c r="V107" s="82" t="s">
        <v>57</v>
      </c>
      <c r="W107" s="82" t="s">
        <v>55</v>
      </c>
      <c r="X107" s="83" t="s">
        <v>511</v>
      </c>
      <c r="Y107" s="84" t="s">
        <v>101</v>
      </c>
      <c r="AB107" s="110" t="str">
        <f>IF($AC$38=1,VLOOKUP($B$17,$AF$82:$AJ$87,2),"")</f>
        <v/>
      </c>
      <c r="AF107" s="85" t="s">
        <v>263</v>
      </c>
      <c r="AG107" s="83">
        <v>2</v>
      </c>
      <c r="AS107" s="222"/>
      <c r="AT107" s="222"/>
      <c r="AU107" s="222"/>
      <c r="AV107" s="222"/>
    </row>
    <row r="108" spans="1:48">
      <c r="B108" s="203"/>
      <c r="C108" s="204"/>
      <c r="E108" s="67" t="e">
        <f>VLOOKUP(B108,styles!$B$3:$D$14,2)</f>
        <v>#N/A</v>
      </c>
      <c r="L108" s="140"/>
      <c r="S108" s="81" t="s">
        <v>74</v>
      </c>
      <c r="T108" s="82" t="s">
        <v>73</v>
      </c>
      <c r="U108" s="107" t="s">
        <v>539</v>
      </c>
      <c r="V108" s="82" t="s">
        <v>75</v>
      </c>
      <c r="W108" s="82" t="s">
        <v>73</v>
      </c>
      <c r="X108" s="83" t="s">
        <v>540</v>
      </c>
      <c r="Y108" s="84" t="s">
        <v>101</v>
      </c>
      <c r="AF108" s="85" t="s">
        <v>710</v>
      </c>
      <c r="AG108" s="83">
        <v>3</v>
      </c>
      <c r="AS108" s="185" t="str">
        <f>print!B71</f>
        <v/>
      </c>
      <c r="AT108" s="180"/>
      <c r="AU108" s="185" t="str">
        <f>print!B94</f>
        <v/>
      </c>
      <c r="AV108" s="180"/>
    </row>
    <row r="109" spans="1:48" ht="15.75" thickBot="1">
      <c r="L109" s="140"/>
      <c r="S109" s="81" t="s">
        <v>47</v>
      </c>
      <c r="T109" s="82" t="s">
        <v>46</v>
      </c>
      <c r="U109" s="107" t="s">
        <v>541</v>
      </c>
      <c r="V109" s="82" t="s">
        <v>36</v>
      </c>
      <c r="W109" s="82" t="s">
        <v>34</v>
      </c>
      <c r="X109" s="83" t="s">
        <v>502</v>
      </c>
      <c r="Y109" s="84" t="s">
        <v>101</v>
      </c>
      <c r="AF109" s="85" t="s">
        <v>711</v>
      </c>
      <c r="AG109" s="83">
        <v>4</v>
      </c>
      <c r="AS109" s="222" t="str">
        <f>print!B72</f>
        <v/>
      </c>
      <c r="AT109" s="222"/>
      <c r="AU109" s="222" t="str">
        <f>print!B95</f>
        <v/>
      </c>
      <c r="AV109" s="222"/>
    </row>
    <row r="110" spans="1:48" ht="18.75">
      <c r="A110" s="111"/>
      <c r="B110" s="112" t="s">
        <v>194</v>
      </c>
      <c r="C110" s="113"/>
      <c r="D110" s="113"/>
      <c r="E110" s="113"/>
      <c r="F110" s="113"/>
      <c r="G110" s="113"/>
      <c r="H110" s="113"/>
      <c r="I110" s="113"/>
      <c r="J110" s="113"/>
      <c r="K110" s="114"/>
      <c r="L110" s="140"/>
      <c r="S110" s="81" t="s">
        <v>26</v>
      </c>
      <c r="T110" s="82" t="s">
        <v>25</v>
      </c>
      <c r="U110" s="107" t="s">
        <v>498</v>
      </c>
      <c r="V110" s="82" t="s">
        <v>24</v>
      </c>
      <c r="W110" s="82" t="s">
        <v>22</v>
      </c>
      <c r="X110" s="83" t="s">
        <v>497</v>
      </c>
      <c r="Y110" s="84" t="s">
        <v>101</v>
      </c>
      <c r="AF110" s="85" t="s">
        <v>727</v>
      </c>
      <c r="AG110" s="83">
        <v>5</v>
      </c>
      <c r="AS110" s="222"/>
      <c r="AT110" s="222"/>
      <c r="AU110" s="222"/>
      <c r="AV110" s="222"/>
    </row>
    <row r="111" spans="1:48">
      <c r="A111" s="115"/>
      <c r="B111" s="116" t="str">
        <f>IF(COUNTIF($N$67:$O$74,$S$69)+COUNTIF($B$60:$C$74,$S$69)&gt;0,VLOOKUP(B17,AA9:AD18,4),"None")</f>
        <v>None</v>
      </c>
      <c r="C111" s="98"/>
      <c r="D111" s="98"/>
      <c r="E111" s="117" t="s">
        <v>1007</v>
      </c>
      <c r="F111" s="118">
        <f>COUNTIF(B60:C74,S69)+COUNTIF(N67:O74,S69)</f>
        <v>0</v>
      </c>
      <c r="G111" s="98" t="str">
        <f>IF(B111=AC115,"Dievas common name:","")</f>
        <v/>
      </c>
      <c r="H111" s="98"/>
      <c r="I111" s="212"/>
      <c r="J111" s="212"/>
      <c r="K111" s="119"/>
      <c r="L111" s="140"/>
      <c r="S111" s="92" t="s">
        <v>20</v>
      </c>
      <c r="T111" s="93" t="s">
        <v>19</v>
      </c>
      <c r="U111" s="93" t="s">
        <v>494</v>
      </c>
      <c r="V111" s="93" t="s">
        <v>33</v>
      </c>
      <c r="W111" s="93" t="s">
        <v>31</v>
      </c>
      <c r="X111" s="94" t="s">
        <v>501</v>
      </c>
      <c r="Y111" s="84" t="s">
        <v>101</v>
      </c>
      <c r="AF111" s="95" t="s">
        <v>712</v>
      </c>
      <c r="AG111" s="94">
        <v>6</v>
      </c>
      <c r="AS111" s="222"/>
      <c r="AT111" s="222"/>
      <c r="AU111" s="222"/>
      <c r="AV111" s="222"/>
    </row>
    <row r="112" spans="1:48">
      <c r="A112" s="115"/>
      <c r="B112" s="116"/>
      <c r="C112" s="98"/>
      <c r="D112" s="98"/>
      <c r="E112" s="117"/>
      <c r="F112" s="118"/>
      <c r="G112" s="98"/>
      <c r="H112" s="98"/>
      <c r="I112" s="98"/>
      <c r="J112" s="98"/>
      <c r="K112" s="119"/>
      <c r="L112" s="140"/>
      <c r="M112" s="155"/>
      <c r="N112" s="155"/>
      <c r="O112" s="155"/>
      <c r="P112" s="155"/>
      <c r="Q112" s="155"/>
      <c r="AS112" s="222"/>
      <c r="AT112" s="222"/>
      <c r="AU112" s="222"/>
      <c r="AV112" s="222"/>
    </row>
    <row r="113" spans="1:48">
      <c r="A113" s="115"/>
      <c r="B113" s="98" t="str">
        <f>IF(B111=$Y$115,"Select Knight",IF(B111=AC115,"Select Dievas type",""))</f>
        <v/>
      </c>
      <c r="C113" s="98"/>
      <c r="D113" s="98"/>
      <c r="E113" s="98"/>
      <c r="F113" s="120" t="str">
        <f>IF(B111=$Y$115,"Major Trait","")</f>
        <v/>
      </c>
      <c r="G113" s="98"/>
      <c r="H113" s="120" t="str">
        <f>IF(B111=$Y$115,"Minor Trait","")</f>
        <v/>
      </c>
      <c r="I113" s="98"/>
      <c r="J113" s="98"/>
      <c r="K113" s="119"/>
      <c r="L113" s="140"/>
      <c r="M113" s="155"/>
      <c r="N113" s="155"/>
      <c r="O113" s="155"/>
      <c r="P113" s="155"/>
      <c r="Q113" s="155"/>
      <c r="AS113" s="222"/>
      <c r="AT113" s="222"/>
      <c r="AU113" s="222"/>
      <c r="AV113" s="222"/>
    </row>
    <row r="114" spans="1:48">
      <c r="A114" s="115"/>
      <c r="B114" s="212"/>
      <c r="C114" s="212"/>
      <c r="D114" s="212"/>
      <c r="E114" s="98"/>
      <c r="F114" s="120" t="str">
        <f>IF(B111=Y115,VLOOKUP(B114,styles!B45:D64,2),"")</f>
        <v/>
      </c>
      <c r="G114" s="98"/>
      <c r="H114" s="120" t="str">
        <f>IF(B111=Y115,VLOOKUP(B114,styles!B45:D64,3),"")</f>
        <v/>
      </c>
      <c r="I114" s="98"/>
      <c r="J114" s="98"/>
      <c r="K114" s="119"/>
      <c r="L114" s="141"/>
      <c r="M114" s="155"/>
      <c r="N114" s="155"/>
      <c r="O114" s="155"/>
      <c r="P114" s="155"/>
      <c r="Q114" s="155"/>
      <c r="S114" s="75" t="s">
        <v>619</v>
      </c>
      <c r="T114" s="76" t="s">
        <v>660</v>
      </c>
      <c r="U114" s="77"/>
      <c r="V114" s="121" t="s">
        <v>715</v>
      </c>
      <c r="AS114" s="222"/>
      <c r="AT114" s="222"/>
      <c r="AU114" s="222"/>
      <c r="AV114" s="222"/>
    </row>
    <row r="115" spans="1:48">
      <c r="A115" s="115"/>
      <c r="B115" s="98"/>
      <c r="C115" s="98"/>
      <c r="D115" s="98"/>
      <c r="E115" s="98"/>
      <c r="F115" s="98"/>
      <c r="G115" s="98"/>
      <c r="H115" s="98"/>
      <c r="I115" s="98"/>
      <c r="J115" s="98"/>
      <c r="K115" s="119"/>
      <c r="L115" s="142"/>
      <c r="M115" s="155"/>
      <c r="N115" s="155"/>
      <c r="O115" s="155"/>
      <c r="P115" s="155"/>
      <c r="Q115" s="155"/>
      <c r="S115" s="81">
        <f>IF($B$111=$Z$115,styles!B22,IF($B$111=$Y$115,'adv shuffle'!E31,IF($B$111=$AD$115,styles!C68,IF($B$111=$AA$115,styles!B86,0))))</f>
        <v>0</v>
      </c>
      <c r="T115" s="82">
        <f>IF($B$111=$Z$115,styles!B29,IF($B$111=$Y$115,'adv shuffle'!E41,IF($B$111=$AD$115,styles!D68,IF($B$111=$AA$115,styles!B77,0))))</f>
        <v>0</v>
      </c>
      <c r="U115" s="82"/>
      <c r="V115" s="83" t="str">
        <f>IF($B$111=$Y$115,styles!B45,IF($B$111=$AC$115,styles!I68,""))</f>
        <v/>
      </c>
      <c r="X115" s="103"/>
      <c r="Y115" s="122" t="s">
        <v>263</v>
      </c>
      <c r="Z115" s="123" t="s">
        <v>709</v>
      </c>
      <c r="AA115" s="123" t="s">
        <v>727</v>
      </c>
      <c r="AB115" s="123" t="s">
        <v>710</v>
      </c>
      <c r="AC115" s="124" t="s">
        <v>711</v>
      </c>
      <c r="AD115" s="125" t="s">
        <v>712</v>
      </c>
      <c r="AU115" s="222" t="str">
        <f>print!B98</f>
        <v/>
      </c>
      <c r="AV115" s="222"/>
    </row>
    <row r="116" spans="1:48">
      <c r="A116" s="115"/>
      <c r="B116" s="213" t="str">
        <f>IF(OR($B$111=$Y$115,$B$111=$Z$115,$B$111=$AA$115,$B$111=$AD$115),HLOOKUP($B$111,$Y$115:$AD$122,$F$111+1),"")</f>
        <v/>
      </c>
      <c r="C116" s="213"/>
      <c r="D116" s="213"/>
      <c r="E116" s="213"/>
      <c r="F116" s="98"/>
      <c r="G116" s="213" t="str">
        <f>IF(OR($B$111=$Y$115,$B$111=$Z$115,$B$111=$AA$115,$B$111=$AD$115),HLOOKUP($B$111,$Y$115:$AD$129,$F$111+8),"")</f>
        <v/>
      </c>
      <c r="H116" s="213"/>
      <c r="I116" s="213"/>
      <c r="J116" s="213"/>
      <c r="K116" s="225"/>
      <c r="L116" s="142"/>
      <c r="M116" s="155"/>
      <c r="N116" s="155"/>
      <c r="O116" s="155"/>
      <c r="P116" s="155"/>
      <c r="Q116" s="155"/>
      <c r="S116" s="81">
        <f>IF($B$111=$Z$115,styles!B23,IF($B$111=$Y$115,'adv shuffle'!E32,IF($B$111=$AD$115,styles!C69,IF($B$111=$AA$115,styles!B87,0))))</f>
        <v>0</v>
      </c>
      <c r="T116" s="82">
        <f>IF($B$111=$Z$115,styles!B30,IF($B$111=$Y$115,'adv shuffle'!E42,IF($B$111=$AD$115,styles!D69,IF($B$111=$AA$115,styles!B78,0))))</f>
        <v>0</v>
      </c>
      <c r="U116" s="82"/>
      <c r="V116" s="83" t="str">
        <f>IF($B$111=$Y$115,styles!B46,IF($B$111=$AC$115,styles!I69,""))</f>
        <v/>
      </c>
      <c r="X116" s="81">
        <v>1</v>
      </c>
      <c r="Y116" s="82" t="s">
        <v>890</v>
      </c>
      <c r="Z116" s="82" t="s">
        <v>760</v>
      </c>
      <c r="AA116" s="82" t="s">
        <v>763</v>
      </c>
      <c r="AB116" s="82" t="s">
        <v>762</v>
      </c>
      <c r="AC116" s="86" t="s">
        <v>812</v>
      </c>
      <c r="AD116" s="83" t="s">
        <v>761</v>
      </c>
      <c r="AS116" s="184" t="str">
        <f>B111</f>
        <v>None</v>
      </c>
      <c r="AU116" s="222"/>
      <c r="AV116" s="222"/>
    </row>
    <row r="117" spans="1:48">
      <c r="A117" s="115"/>
      <c r="B117" s="212"/>
      <c r="C117" s="212"/>
      <c r="D117" s="212"/>
      <c r="E117" s="136"/>
      <c r="F117" s="98"/>
      <c r="G117" s="212"/>
      <c r="H117" s="212"/>
      <c r="I117" s="212"/>
      <c r="J117" s="212"/>
      <c r="K117" s="137"/>
      <c r="L117" s="142"/>
      <c r="M117" s="155"/>
      <c r="N117" s="155"/>
      <c r="O117" s="155"/>
      <c r="P117" s="155"/>
      <c r="Q117" s="155"/>
      <c r="S117" s="81">
        <f>IF($B$111=$Z$115,styles!B24,IF($B$111=$Y$115,'adv shuffle'!E33,IF($B$111=$AD$115,styles!C70,IF($B$111=$AA$115,styles!B88,0))))</f>
        <v>0</v>
      </c>
      <c r="T117" s="82">
        <f>IF($B$111=$Z$115,styles!B31,IF($B$111=$Y$115,'adv shuffle'!E43,IF($B$111=$AD$115,styles!D70,IF($B$111=$AA$115,styles!B79,0))))</f>
        <v>0</v>
      </c>
      <c r="U117" s="82"/>
      <c r="V117" s="83" t="str">
        <f>IF($B$111=$Y$115,styles!B47,IF($B$111=$AC$115,styles!I70,""))</f>
        <v/>
      </c>
      <c r="X117" s="81">
        <v>2</v>
      </c>
      <c r="Y117" s="82" t="s">
        <v>891</v>
      </c>
      <c r="Z117" s="82" t="s">
        <v>764</v>
      </c>
      <c r="AA117" s="82" t="s">
        <v>766</v>
      </c>
      <c r="AB117" s="82" t="s">
        <v>767</v>
      </c>
      <c r="AC117" s="86" t="s">
        <v>812</v>
      </c>
      <c r="AD117" s="83" t="s">
        <v>765</v>
      </c>
      <c r="AS117" s="227" t="str">
        <f>print!D125</f>
        <v>--</v>
      </c>
      <c r="AT117" s="227"/>
      <c r="AU117" s="222"/>
      <c r="AV117" s="222"/>
    </row>
    <row r="118" spans="1:48">
      <c r="A118" s="115"/>
      <c r="B118" s="212"/>
      <c r="C118" s="212"/>
      <c r="D118" s="212"/>
      <c r="E118" s="136"/>
      <c r="F118" s="98"/>
      <c r="G118" s="212"/>
      <c r="H118" s="212"/>
      <c r="I118" s="212"/>
      <c r="J118" s="212"/>
      <c r="K118" s="137"/>
      <c r="L118" s="142"/>
      <c r="M118" s="155"/>
      <c r="N118" s="155"/>
      <c r="O118" s="155"/>
      <c r="P118" s="155"/>
      <c r="Q118" s="155"/>
      <c r="S118" s="81">
        <f>IF($B$111=$Z$115,styles!B25,IF($B$111=$Y$115,'adv shuffle'!E34,IF($B$111=$AD$115,styles!C71,IF($B$111=$AA$115,styles!B89,0))))</f>
        <v>0</v>
      </c>
      <c r="T118" s="82">
        <f>IF($B$111=$Z$115,styles!B32,IF($B$111=$Y$115,'adv shuffle'!E44,IF($B$111=$AD$115,styles!D71,IF($B$111=$AA$115,styles!B80,0))))</f>
        <v>0</v>
      </c>
      <c r="U118" s="82"/>
      <c r="V118" s="83" t="str">
        <f>IF($B$111=$Y$115,styles!B48,IF($B$111=$AC$115,styles!I71,""))</f>
        <v/>
      </c>
      <c r="X118" s="81">
        <v>3</v>
      </c>
      <c r="Y118" s="82" t="s">
        <v>892</v>
      </c>
      <c r="Z118" s="82" t="s">
        <v>768</v>
      </c>
      <c r="AA118" s="82" t="s">
        <v>770</v>
      </c>
      <c r="AB118" s="82" t="s">
        <v>771</v>
      </c>
      <c r="AC118" s="86" t="s">
        <v>812</v>
      </c>
      <c r="AD118" s="83" t="s">
        <v>769</v>
      </c>
      <c r="AS118" s="228" t="str">
        <f>print!B126</f>
        <v/>
      </c>
      <c r="AT118" s="228"/>
      <c r="AU118" s="222"/>
      <c r="AV118" s="222"/>
    </row>
    <row r="119" spans="1:48">
      <c r="A119" s="115"/>
      <c r="B119" s="212"/>
      <c r="C119" s="212"/>
      <c r="D119" s="212"/>
      <c r="E119" s="136"/>
      <c r="F119" s="98"/>
      <c r="G119" s="212"/>
      <c r="H119" s="212"/>
      <c r="I119" s="212"/>
      <c r="J119" s="212"/>
      <c r="K119" s="137"/>
      <c r="L119" s="142"/>
      <c r="M119" s="155"/>
      <c r="N119" s="155"/>
      <c r="O119" s="155"/>
      <c r="P119" s="155"/>
      <c r="Q119" s="155"/>
      <c r="S119" s="81">
        <f>IF($B$111=$Z$115,styles!B26,IF($B$111=$Y$115,'adv shuffle'!E35,IF($B$111=$AA$115,styles!B90,0)))</f>
        <v>0</v>
      </c>
      <c r="T119" s="82">
        <f>IF($B$111=$Z$115,styles!B33,IF($B$111=$Y$115,'adv shuffle'!E45,IF($B$111=$AA$115,styles!B81,IF($B$111=$AD$115,styles!D72,0))))</f>
        <v>0</v>
      </c>
      <c r="U119" s="82"/>
      <c r="V119" s="83" t="str">
        <f>IF($B$111=$Y$115,styles!B49,IF($B$111=$AC$115,styles!I72,""))</f>
        <v/>
      </c>
      <c r="X119" s="81">
        <v>4</v>
      </c>
      <c r="Y119" s="82" t="s">
        <v>893</v>
      </c>
      <c r="Z119" s="82" t="s">
        <v>772</v>
      </c>
      <c r="AA119" s="82" t="s">
        <v>774</v>
      </c>
      <c r="AB119" s="82" t="s">
        <v>775</v>
      </c>
      <c r="AC119" s="86" t="s">
        <v>812</v>
      </c>
      <c r="AD119" s="83" t="s">
        <v>773</v>
      </c>
      <c r="AQ119" s="70"/>
      <c r="AR119" s="69"/>
      <c r="AS119" s="227" t="str">
        <f>print!B127</f>
        <v/>
      </c>
      <c r="AT119" s="227"/>
      <c r="AU119" s="222"/>
      <c r="AV119" s="222"/>
    </row>
    <row r="120" spans="1:48">
      <c r="A120" s="115"/>
      <c r="B120" s="212"/>
      <c r="C120" s="212"/>
      <c r="D120" s="212"/>
      <c r="E120" s="136"/>
      <c r="F120" s="98"/>
      <c r="G120" s="212"/>
      <c r="H120" s="212"/>
      <c r="I120" s="212"/>
      <c r="J120" s="212"/>
      <c r="K120" s="137"/>
      <c r="L120" s="143"/>
      <c r="M120" s="155"/>
      <c r="N120" s="155"/>
      <c r="O120" s="155"/>
      <c r="P120" s="155"/>
      <c r="Q120" s="155"/>
      <c r="S120" s="81" t="str">
        <f>IF($B$111=$Z$115,styles!B27,IF($B$111=$Y$115,'adv shuffle'!E36,""))</f>
        <v/>
      </c>
      <c r="T120" s="82">
        <f>IF($B$111=$Z$115,styles!B34,IF($B$111=$Y$115,'adv shuffle'!E46,IF($B$111=$AA$115,styles!B82,0)))</f>
        <v>0</v>
      </c>
      <c r="U120" s="82"/>
      <c r="V120" s="83" t="str">
        <f>IF($B$111=$Y$115,styles!B50,IF($B$111=$AC$115,styles!I73,""))</f>
        <v/>
      </c>
      <c r="X120" s="81">
        <v>5</v>
      </c>
      <c r="Y120" s="82" t="s">
        <v>894</v>
      </c>
      <c r="Z120" s="82" t="s">
        <v>776</v>
      </c>
      <c r="AA120" s="82" t="s">
        <v>777</v>
      </c>
      <c r="AB120" s="82" t="s">
        <v>778</v>
      </c>
      <c r="AC120" s="86" t="s">
        <v>812</v>
      </c>
      <c r="AD120" s="127" t="s">
        <v>708</v>
      </c>
      <c r="AQ120" s="70"/>
      <c r="AR120" s="69"/>
      <c r="AS120" s="228" t="str">
        <f>print!B128</f>
        <v/>
      </c>
      <c r="AT120" s="228"/>
      <c r="AU120" s="222"/>
      <c r="AV120" s="222"/>
    </row>
    <row r="121" spans="1:48">
      <c r="A121" s="115"/>
      <c r="B121" s="212"/>
      <c r="C121" s="212"/>
      <c r="D121" s="212"/>
      <c r="E121" s="136"/>
      <c r="F121" s="98"/>
      <c r="G121" s="212"/>
      <c r="H121" s="212"/>
      <c r="I121" s="212"/>
      <c r="J121" s="212"/>
      <c r="K121" s="137"/>
      <c r="L121" s="140"/>
      <c r="M121" s="155"/>
      <c r="N121" s="155"/>
      <c r="O121" s="155"/>
      <c r="P121" s="155"/>
      <c r="Q121" s="155"/>
      <c r="S121" s="81" t="str">
        <f>IF($B$111=$Z$115,styles!B28,IF($B$111=$Y$115,'adv shuffle'!E37,""))</f>
        <v/>
      </c>
      <c r="T121" s="82">
        <f>IF($B$111=$Z$115,styles!B35,IF($B$111=$Y$115,'adv shuffle'!E47,IF($B$111=$AA$115,styles!B83,0)))</f>
        <v>0</v>
      </c>
      <c r="U121" s="82"/>
      <c r="V121" s="83" t="str">
        <f>IF($B$111=$Y$115,styles!B51,IF($B$111=$AC$115,styles!I74,""))</f>
        <v/>
      </c>
      <c r="X121" s="81">
        <v>6</v>
      </c>
      <c r="Y121" s="82" t="s">
        <v>895</v>
      </c>
      <c r="Z121" s="82" t="s">
        <v>779</v>
      </c>
      <c r="AA121" s="82" t="s">
        <v>780</v>
      </c>
      <c r="AB121" s="82" t="s">
        <v>781</v>
      </c>
      <c r="AC121" s="86" t="s">
        <v>812</v>
      </c>
      <c r="AD121" s="127" t="s">
        <v>708</v>
      </c>
      <c r="AQ121" s="70"/>
      <c r="AR121" s="69"/>
      <c r="AS121" s="227" t="str">
        <f>print!B129</f>
        <v/>
      </c>
      <c r="AT121" s="227"/>
    </row>
    <row r="122" spans="1:48">
      <c r="A122" s="115"/>
      <c r="B122" s="212"/>
      <c r="C122" s="212"/>
      <c r="D122" s="212"/>
      <c r="E122" s="120" t="str">
        <f>IF($B$111=$Y$115,"ranks","")</f>
        <v/>
      </c>
      <c r="F122" s="98"/>
      <c r="G122" s="212"/>
      <c r="H122" s="212"/>
      <c r="I122" s="212"/>
      <c r="J122" s="212"/>
      <c r="K122" s="126" t="str">
        <f>IF($B$111=$Y$115,"ranks","")</f>
        <v/>
      </c>
      <c r="L122" s="140"/>
      <c r="M122" s="155"/>
      <c r="N122" s="155"/>
      <c r="O122" s="155"/>
      <c r="P122" s="155"/>
      <c r="Q122" s="155"/>
      <c r="S122" s="128" t="s">
        <v>101</v>
      </c>
      <c r="T122" s="82">
        <f>IF($B$111=$Z$115,styles!B36,IF($B$111=$Y$115,'adv shuffle'!E48,IF($B$111=$AA$115,styles!B84,0)))</f>
        <v>0</v>
      </c>
      <c r="U122" s="82"/>
      <c r="V122" s="83" t="str">
        <f>IF($B$111=$Y$115,styles!B52,"")</f>
        <v/>
      </c>
      <c r="X122" s="81">
        <v>7</v>
      </c>
      <c r="Y122" s="82" t="s">
        <v>895</v>
      </c>
      <c r="Z122" s="82" t="s">
        <v>810</v>
      </c>
      <c r="AA122" s="82" t="s">
        <v>782</v>
      </c>
      <c r="AB122" s="82" t="s">
        <v>783</v>
      </c>
      <c r="AC122" s="86" t="s">
        <v>813</v>
      </c>
      <c r="AD122" s="127" t="s">
        <v>708</v>
      </c>
      <c r="AQ122" s="70"/>
      <c r="AR122" s="69"/>
      <c r="AS122" s="228" t="str">
        <f>print!B130</f>
        <v/>
      </c>
      <c r="AT122" s="228"/>
    </row>
    <row r="123" spans="1:48">
      <c r="A123" s="115"/>
      <c r="B123" s="212"/>
      <c r="C123" s="212"/>
      <c r="D123" s="212"/>
      <c r="E123" s="98"/>
      <c r="F123" s="98"/>
      <c r="G123" s="212"/>
      <c r="H123" s="212"/>
      <c r="I123" s="212"/>
      <c r="J123" s="212"/>
      <c r="K123" s="119"/>
      <c r="L123" s="140"/>
      <c r="M123" s="155"/>
      <c r="N123" s="155"/>
      <c r="O123" s="155"/>
      <c r="P123" s="155"/>
      <c r="Q123" s="155"/>
      <c r="S123" s="128" t="s">
        <v>101</v>
      </c>
      <c r="T123" s="82">
        <f>IF($B$111=$Z$115,styles!B37,IF($B$111=$Y$115,'adv shuffle'!E49,0))</f>
        <v>0</v>
      </c>
      <c r="U123" s="82"/>
      <c r="V123" s="83" t="str">
        <f>IF($B$111=$Y$115,styles!B53,"")</f>
        <v/>
      </c>
      <c r="X123" s="81">
        <v>1</v>
      </c>
      <c r="Y123" s="82" t="s">
        <v>896</v>
      </c>
      <c r="Z123" s="82" t="s">
        <v>784</v>
      </c>
      <c r="AA123" s="82" t="s">
        <v>785</v>
      </c>
      <c r="AB123" s="82" t="s">
        <v>786</v>
      </c>
      <c r="AC123" s="82" t="s">
        <v>787</v>
      </c>
      <c r="AD123" s="83" t="s">
        <v>807</v>
      </c>
      <c r="AQ123" s="70"/>
      <c r="AR123" s="69"/>
      <c r="AS123" s="227" t="str">
        <f>print!B131</f>
        <v/>
      </c>
      <c r="AT123" s="227"/>
    </row>
    <row r="124" spans="1:48">
      <c r="A124" s="115"/>
      <c r="B124" s="118" t="str">
        <f>IF(OR($B$111=$AB$115,$B$111=$AC$115),HLOOKUP($B$111,$Y$115:$AD$129,$F$111+8),"")</f>
        <v/>
      </c>
      <c r="C124" s="118"/>
      <c r="D124" s="98"/>
      <c r="E124" s="98"/>
      <c r="F124" s="98"/>
      <c r="G124" s="212"/>
      <c r="H124" s="212"/>
      <c r="I124" s="212"/>
      <c r="J124" s="212"/>
      <c r="K124" s="119"/>
      <c r="L124" s="140"/>
      <c r="M124" s="155"/>
      <c r="N124" s="155"/>
      <c r="O124" s="155"/>
      <c r="P124" s="155"/>
      <c r="Q124" s="155"/>
      <c r="S124" s="128" t="s">
        <v>101</v>
      </c>
      <c r="T124" s="82">
        <f>IF($B$111=$Z$115,styles!B38,IF($B$111=$Y$115,'adv shuffle'!E50,0))</f>
        <v>0</v>
      </c>
      <c r="U124" s="82"/>
      <c r="V124" s="83" t="str">
        <f>IF($B$111=$Y$115,styles!B54,"")</f>
        <v/>
      </c>
      <c r="X124" s="81">
        <v>2</v>
      </c>
      <c r="Y124" s="82" t="str">
        <f>IF($S$129=2,"Select 4 minor glamours at rank 1","Select 2 minor glamours at rank 2")</f>
        <v>Select 2 minor glamours at rank 2</v>
      </c>
      <c r="Z124" s="82" t="s">
        <v>788</v>
      </c>
      <c r="AA124" s="82" t="s">
        <v>789</v>
      </c>
      <c r="AB124" s="82" t="s">
        <v>790</v>
      </c>
      <c r="AC124" s="82" t="s">
        <v>791</v>
      </c>
      <c r="AD124" s="83" t="s">
        <v>808</v>
      </c>
      <c r="AQ124" s="70"/>
      <c r="AR124" s="69"/>
      <c r="AS124" s="228" t="str">
        <f>print!B132</f>
        <v/>
      </c>
      <c r="AT124" s="228"/>
    </row>
    <row r="125" spans="1:48">
      <c r="A125" s="115"/>
      <c r="B125" s="212"/>
      <c r="C125" s="212"/>
      <c r="D125" s="212"/>
      <c r="E125" s="212"/>
      <c r="F125" s="98"/>
      <c r="G125" s="212"/>
      <c r="H125" s="212"/>
      <c r="I125" s="212"/>
      <c r="J125" s="212"/>
      <c r="K125" s="119"/>
      <c r="L125" s="140"/>
      <c r="M125" s="155"/>
      <c r="N125" s="155"/>
      <c r="O125" s="155"/>
      <c r="P125" s="155"/>
      <c r="Q125" s="155"/>
      <c r="S125" s="128" t="s">
        <v>101</v>
      </c>
      <c r="T125" s="82">
        <f>IF($B$111=$Z$115,styles!B39,0)</f>
        <v>0</v>
      </c>
      <c r="U125" s="82"/>
      <c r="V125" s="83" t="str">
        <f>IF($B$111=$Y$115,styles!B55,"")</f>
        <v/>
      </c>
      <c r="X125" s="81">
        <v>3</v>
      </c>
      <c r="Y125" s="82" t="str">
        <f>IF($S$129=3,"Select all 5 minor glamours at rank 1",IF($S$129=2,"Select 2 minor glamours at 2 and 2 at 1","Select 2 minor glamours at rank 3"))</f>
        <v>Select 2 minor glamours at rank 3</v>
      </c>
      <c r="Z125" s="82" t="s">
        <v>792</v>
      </c>
      <c r="AA125" s="82" t="s">
        <v>793</v>
      </c>
      <c r="AB125" s="82" t="s">
        <v>794</v>
      </c>
      <c r="AC125" s="82" t="s">
        <v>795</v>
      </c>
      <c r="AD125" s="83" t="s">
        <v>809</v>
      </c>
      <c r="AQ125" s="70"/>
      <c r="AR125" s="69"/>
      <c r="AS125" s="227" t="str">
        <f>print!B133</f>
        <v/>
      </c>
      <c r="AT125" s="227"/>
    </row>
    <row r="126" spans="1:48">
      <c r="A126" s="115"/>
      <c r="B126" s="212"/>
      <c r="C126" s="212"/>
      <c r="D126" s="212"/>
      <c r="E126" s="212"/>
      <c r="F126" s="98"/>
      <c r="G126" s="212"/>
      <c r="H126" s="212"/>
      <c r="I126" s="212"/>
      <c r="J126" s="212"/>
      <c r="K126" s="119"/>
      <c r="L126" s="140"/>
      <c r="M126" s="155"/>
      <c r="N126" s="155"/>
      <c r="O126" s="155"/>
      <c r="P126" s="155"/>
      <c r="Q126" s="155"/>
      <c r="S126" s="128" t="s">
        <v>101</v>
      </c>
      <c r="T126" s="82">
        <f>IF($B$111=$Z$115,styles!B40,0)</f>
        <v>0</v>
      </c>
      <c r="U126" s="82"/>
      <c r="V126" s="83" t="str">
        <f>IF($B$111=$Y$115,styles!B56,"")</f>
        <v/>
      </c>
      <c r="X126" s="81">
        <v>4</v>
      </c>
      <c r="Y126" s="82" t="str">
        <f>IF($S$129=4,"Select all 5 minor glamours at rank 1",IF($S$129=3,"Select 3 glamours at 1 and 2 at 2",IF($S$129=2,"Select 4 minor glamours at 2 or select 2 at 1 and 2 at 3","Select 2 minor glamours at 4")))</f>
        <v>Select 2 minor glamours at 4</v>
      </c>
      <c r="Z126" s="82" t="s">
        <v>796</v>
      </c>
      <c r="AA126" s="82" t="s">
        <v>797</v>
      </c>
      <c r="AB126" s="82" t="s">
        <v>798</v>
      </c>
      <c r="AC126" s="82" t="s">
        <v>799</v>
      </c>
      <c r="AD126" s="83" t="s">
        <v>809</v>
      </c>
      <c r="AQ126" s="70"/>
      <c r="AR126" s="69"/>
      <c r="AS126" s="228" t="str">
        <f>print!B134</f>
        <v/>
      </c>
      <c r="AT126" s="228"/>
    </row>
    <row r="127" spans="1:48">
      <c r="A127" s="115"/>
      <c r="B127" s="212"/>
      <c r="C127" s="212"/>
      <c r="D127" s="212"/>
      <c r="E127" s="212"/>
      <c r="F127" s="98"/>
      <c r="G127" s="212"/>
      <c r="H127" s="212"/>
      <c r="I127" s="212"/>
      <c r="J127" s="212"/>
      <c r="K127" s="119"/>
      <c r="L127" s="140"/>
      <c r="M127" s="155"/>
      <c r="N127" s="155"/>
      <c r="O127" s="155"/>
      <c r="P127" s="155"/>
      <c r="Q127" s="155"/>
      <c r="S127" s="128" t="s">
        <v>101</v>
      </c>
      <c r="T127" s="82">
        <f>IF($B$111=$Z$115,styles!B41,0)</f>
        <v>0</v>
      </c>
      <c r="U127" s="82"/>
      <c r="V127" s="83" t="str">
        <f>IF($B$111=$Y$115,styles!B57,"")</f>
        <v/>
      </c>
      <c r="X127" s="81">
        <v>5</v>
      </c>
      <c r="Y127" s="82" t="str">
        <f>IF($S$129=5,"Select all 5 minor glamours at rank 1",IF($S$129=4,"Select 2 minor glamours at rank 2 and 3 at rank 1",IF($S$129=3,"Select 2 glamours at 3 &amp; 2 at 1, or select 4 at 2 &amp; 1 at 1",IF($S$129=2,"Select 2 glamours at 4 &amp; 2 at 1, or select 2 at 3 &amp; 2 at 2","Select 2 minor glamours at 5"))))</f>
        <v>Select 2 minor glamours at 5</v>
      </c>
      <c r="Z127" s="82" t="s">
        <v>800</v>
      </c>
      <c r="AA127" s="82" t="s">
        <v>708</v>
      </c>
      <c r="AB127" s="82" t="s">
        <v>801</v>
      </c>
      <c r="AC127" s="82" t="s">
        <v>802</v>
      </c>
      <c r="AD127" s="127" t="s">
        <v>708</v>
      </c>
      <c r="AQ127" s="70"/>
      <c r="AR127" s="69"/>
      <c r="AS127" s="227" t="str">
        <f>print!B135</f>
        <v/>
      </c>
      <c r="AT127" s="227"/>
    </row>
    <row r="128" spans="1:48">
      <c r="A128" s="115"/>
      <c r="B128" s="212"/>
      <c r="C128" s="212"/>
      <c r="D128" s="212"/>
      <c r="E128" s="212"/>
      <c r="F128" s="98"/>
      <c r="G128" s="212"/>
      <c r="H128" s="212"/>
      <c r="I128" s="212"/>
      <c r="J128" s="212"/>
      <c r="K128" s="119"/>
      <c r="L128" s="140"/>
      <c r="M128" s="155"/>
      <c r="N128" s="155"/>
      <c r="O128" s="155"/>
      <c r="P128" s="155"/>
      <c r="Q128" s="155"/>
      <c r="S128" s="81"/>
      <c r="T128" s="82"/>
      <c r="U128" s="82"/>
      <c r="V128" s="83" t="str">
        <f>IF($B$111=$Y$115,styles!B58,"")</f>
        <v/>
      </c>
      <c r="X128" s="81">
        <v>6</v>
      </c>
      <c r="Y128" s="82" t="str">
        <f>IF($S$129=5,"Select 2 minor glamours at rank 2 and 3 at rank 1",IF($S$129=4,"Select 2 glamours at 3 &amp; 2 at 1, or select 4 at 2 &amp; 1 at 1",IF($S$129=3,"Select (2 glamours at 3, 2 at 2 &amp; 1 at 1), or (2 at 4 &amp; 3 at 1), or all 5 at 2",IF($S$129=2,"Select 2 glamours at 5 &amp; 2 at 1, or  2 at 4 &amp; 2 at 2, or 4 at 3","Select 2 minor glamours at 5"))))</f>
        <v>Select 2 minor glamours at 5</v>
      </c>
      <c r="Z128" s="82" t="s">
        <v>803</v>
      </c>
      <c r="AA128" s="82" t="s">
        <v>708</v>
      </c>
      <c r="AB128" s="82" t="s">
        <v>804</v>
      </c>
      <c r="AC128" s="82" t="s">
        <v>805</v>
      </c>
      <c r="AD128" s="127" t="s">
        <v>708</v>
      </c>
      <c r="AQ128" s="70"/>
      <c r="AR128" s="69"/>
      <c r="AS128" s="228" t="str">
        <f>print!B136</f>
        <v/>
      </c>
      <c r="AT128" s="228"/>
    </row>
    <row r="129" spans="1:46">
      <c r="A129" s="115"/>
      <c r="B129" s="212"/>
      <c r="C129" s="212"/>
      <c r="D129" s="212"/>
      <c r="E129" s="212"/>
      <c r="F129" s="98"/>
      <c r="G129" s="212"/>
      <c r="H129" s="212"/>
      <c r="I129" s="212"/>
      <c r="J129" s="212"/>
      <c r="K129" s="119"/>
      <c r="L129" s="140"/>
      <c r="M129" s="155"/>
      <c r="N129" s="155"/>
      <c r="O129" s="155"/>
      <c r="P129" s="155"/>
      <c r="Q129" s="155"/>
      <c r="S129" s="110">
        <f>COUNTA(B117:D121)</f>
        <v>0</v>
      </c>
      <c r="T129" s="82"/>
      <c r="U129" s="82"/>
      <c r="V129" s="83" t="str">
        <f>IF($B$111=$Y$115,styles!B59,"")</f>
        <v/>
      </c>
      <c r="X129" s="92">
        <v>7</v>
      </c>
      <c r="Y129" s="93" t="str">
        <f>IF($S$129=5,"Select 2 glamours at 3 &amp; 2 at 1, or select 4 at 2 &amp; 1 at 1",IF($S$129=4,"Select (2 glamours at 3, 2 at 2 &amp; 1 at 1), or (2 at 4 &amp; 3 at 1), or all 5 at 2",IF($S$129=3,"Select (2 glamours at 4, 2 at 2 &amp; 1 at 1), or (2 at 5 &amp; 3 at 1), or (2 at 3, &amp; 3 at 2)",IF($S$129=2,"Select 2 glamours at 5 &amp; 2 at 2, or  2 at 4 &amp; 2 at 3, or 4 at 3","Select 2 minor glamours at 5"))))</f>
        <v>Select 2 minor glamours at 5</v>
      </c>
      <c r="Z129" s="93" t="s">
        <v>806</v>
      </c>
      <c r="AA129" s="93" t="s">
        <v>708</v>
      </c>
      <c r="AB129" s="129" t="s">
        <v>811</v>
      </c>
      <c r="AC129" s="129" t="s">
        <v>708</v>
      </c>
      <c r="AD129" s="130" t="s">
        <v>708</v>
      </c>
      <c r="AQ129" s="70"/>
      <c r="AR129" s="69"/>
      <c r="AS129" s="227" t="str">
        <f>print!B137</f>
        <v/>
      </c>
      <c r="AT129" s="227"/>
    </row>
    <row r="130" spans="1:46">
      <c r="A130" s="115"/>
      <c r="B130" s="212"/>
      <c r="C130" s="212"/>
      <c r="D130" s="212"/>
      <c r="E130" s="212"/>
      <c r="F130" s="98"/>
      <c r="G130" s="98"/>
      <c r="H130" s="98"/>
      <c r="I130" s="98"/>
      <c r="J130" s="98"/>
      <c r="K130" s="119"/>
      <c r="L130" s="140"/>
      <c r="M130" s="155"/>
      <c r="N130" s="155"/>
      <c r="O130" s="155"/>
      <c r="P130" s="155"/>
      <c r="Q130" s="155"/>
      <c r="S130" s="81"/>
      <c r="T130" s="82"/>
      <c r="U130" s="82"/>
      <c r="V130" s="83" t="str">
        <f>IF($B$111=$Y$115,styles!B60,"")</f>
        <v/>
      </c>
      <c r="Y130" s="69" t="s">
        <v>897</v>
      </c>
      <c r="Z130" s="107" t="s">
        <v>822</v>
      </c>
      <c r="AA130" s="107" t="s">
        <v>823</v>
      </c>
      <c r="AB130" s="107" t="s">
        <v>759</v>
      </c>
      <c r="AC130" s="131" t="s">
        <v>708</v>
      </c>
      <c r="AD130" s="132" t="s">
        <v>826</v>
      </c>
      <c r="AQ130" s="70"/>
      <c r="AR130" s="69"/>
      <c r="AS130" s="228" t="str">
        <f>print!B138</f>
        <v/>
      </c>
      <c r="AT130" s="228"/>
    </row>
    <row r="131" spans="1:46">
      <c r="A131" s="115"/>
      <c r="B131" s="212"/>
      <c r="C131" s="212"/>
      <c r="D131" s="212"/>
      <c r="E131" s="212"/>
      <c r="F131" s="98"/>
      <c r="G131" s="214" t="str">
        <f>IF(OR($B$111=$AB$115,$B$111=$AC$115),HLOOKUP($B$111,$Y$115:$AD$122,$F$111+1),"")</f>
        <v/>
      </c>
      <c r="H131" s="214"/>
      <c r="I131" s="214"/>
      <c r="J131" s="214"/>
      <c r="K131" s="119"/>
      <c r="L131" s="140"/>
      <c r="M131" s="155"/>
      <c r="N131" s="155"/>
      <c r="O131" s="155"/>
      <c r="P131" s="155"/>
      <c r="Q131" s="155"/>
      <c r="S131" s="81"/>
      <c r="T131" s="82"/>
      <c r="U131" s="82"/>
      <c r="V131" s="83" t="str">
        <f>IF($B$111=$Y$115,styles!B61,"")</f>
        <v/>
      </c>
      <c r="Y131" s="69" t="s">
        <v>898</v>
      </c>
      <c r="Z131" s="107" t="s">
        <v>821</v>
      </c>
      <c r="AA131" s="107" t="s">
        <v>824</v>
      </c>
      <c r="AB131" s="107" t="s">
        <v>758</v>
      </c>
      <c r="AC131" s="107" t="s">
        <v>825</v>
      </c>
      <c r="AD131" s="132" t="s">
        <v>827</v>
      </c>
      <c r="AQ131" s="70"/>
      <c r="AR131" s="69"/>
      <c r="AS131" s="227" t="str">
        <f>print!B139</f>
        <v/>
      </c>
      <c r="AT131" s="227"/>
    </row>
    <row r="132" spans="1:46">
      <c r="A132" s="115"/>
      <c r="B132" s="212"/>
      <c r="C132" s="212"/>
      <c r="D132" s="212"/>
      <c r="E132" s="212"/>
      <c r="F132" s="98"/>
      <c r="G132" s="212"/>
      <c r="H132" s="212"/>
      <c r="I132" s="212"/>
      <c r="J132" s="212"/>
      <c r="K132" s="119"/>
      <c r="L132" s="140"/>
      <c r="M132" s="155"/>
      <c r="N132" s="155"/>
      <c r="O132" s="155"/>
      <c r="P132" s="155"/>
      <c r="Q132" s="155"/>
      <c r="S132" s="81"/>
      <c r="T132" s="82"/>
      <c r="U132" s="82"/>
      <c r="V132" s="83" t="str">
        <f>IF($B$111=$Y$115,styles!B62,"")</f>
        <v/>
      </c>
      <c r="Y132" s="69" t="s">
        <v>899</v>
      </c>
      <c r="Z132" s="107" t="s">
        <v>889</v>
      </c>
      <c r="AA132" s="131" t="s">
        <v>708</v>
      </c>
      <c r="AB132" s="107" t="s">
        <v>901</v>
      </c>
      <c r="AC132" s="86" t="s">
        <v>812</v>
      </c>
      <c r="AD132" s="132" t="s">
        <v>913</v>
      </c>
      <c r="AQ132" s="70"/>
      <c r="AR132" s="69"/>
      <c r="AS132" s="181" t="str">
        <f>print!D141</f>
        <v>--</v>
      </c>
    </row>
    <row r="133" spans="1:46">
      <c r="A133" s="115"/>
      <c r="B133" s="212"/>
      <c r="C133" s="212"/>
      <c r="D133" s="212"/>
      <c r="E133" s="212"/>
      <c r="F133" s="98"/>
      <c r="G133" s="212"/>
      <c r="H133" s="212"/>
      <c r="I133" s="212"/>
      <c r="J133" s="212"/>
      <c r="K133" s="119"/>
      <c r="L133" s="140"/>
      <c r="M133" s="155"/>
      <c r="N133" s="155"/>
      <c r="O133" s="155"/>
      <c r="P133" s="155"/>
      <c r="Q133" s="155"/>
      <c r="S133" s="81"/>
      <c r="T133" s="82"/>
      <c r="U133" s="82"/>
      <c r="V133" s="83" t="str">
        <f>IF($B$111=$Y$115,styles!B63,"")</f>
        <v/>
      </c>
      <c r="Y133" s="69" t="s">
        <v>899</v>
      </c>
      <c r="Z133" s="131" t="s">
        <v>708</v>
      </c>
      <c r="AA133" s="69" t="s">
        <v>888</v>
      </c>
      <c r="AB133" s="69" t="s">
        <v>900</v>
      </c>
      <c r="AC133" s="107" t="s">
        <v>914</v>
      </c>
      <c r="AD133" s="69" t="s">
        <v>912</v>
      </c>
      <c r="AQ133" s="70"/>
      <c r="AR133" s="69"/>
      <c r="AS133" s="228" t="str">
        <f>print!B142</f>
        <v/>
      </c>
      <c r="AT133" s="228"/>
    </row>
    <row r="134" spans="1:46">
      <c r="A134" s="115"/>
      <c r="B134" s="212"/>
      <c r="C134" s="212"/>
      <c r="D134" s="212"/>
      <c r="E134" s="212"/>
      <c r="F134" s="98"/>
      <c r="G134" s="212"/>
      <c r="H134" s="212"/>
      <c r="I134" s="212"/>
      <c r="J134" s="212"/>
      <c r="K134" s="119"/>
      <c r="L134" s="140"/>
      <c r="M134" s="155"/>
      <c r="N134" s="155"/>
      <c r="O134" s="155"/>
      <c r="P134" s="155"/>
      <c r="Q134" s="155"/>
      <c r="S134" s="92"/>
      <c r="T134" s="93"/>
      <c r="U134" s="93"/>
      <c r="V134" s="94" t="str">
        <f>IF($B$111=$Y$115,styles!B64,"")</f>
        <v/>
      </c>
      <c r="AQ134" s="70"/>
      <c r="AR134" s="69"/>
      <c r="AS134" s="227" t="str">
        <f>print!B143</f>
        <v/>
      </c>
      <c r="AT134" s="227"/>
    </row>
    <row r="135" spans="1:46">
      <c r="A135" s="115"/>
      <c r="B135" s="212"/>
      <c r="C135" s="212"/>
      <c r="D135" s="212"/>
      <c r="E135" s="212"/>
      <c r="F135" s="98"/>
      <c r="G135" s="212"/>
      <c r="H135" s="212"/>
      <c r="I135" s="212"/>
      <c r="J135" s="212"/>
      <c r="K135" s="119"/>
      <c r="L135" s="140"/>
      <c r="M135" s="155"/>
      <c r="N135" s="155"/>
      <c r="O135" s="155"/>
      <c r="P135" s="155"/>
      <c r="Q135" s="155"/>
      <c r="AQ135" s="70"/>
      <c r="AR135" s="69"/>
      <c r="AS135" s="228" t="str">
        <f>print!B144</f>
        <v/>
      </c>
      <c r="AT135" s="228"/>
    </row>
    <row r="136" spans="1:46">
      <c r="A136" s="115"/>
      <c r="B136" s="212"/>
      <c r="C136" s="212"/>
      <c r="D136" s="212"/>
      <c r="E136" s="212"/>
      <c r="F136" s="98"/>
      <c r="G136" s="212"/>
      <c r="H136" s="212"/>
      <c r="I136" s="212"/>
      <c r="J136" s="212"/>
      <c r="K136" s="119"/>
      <c r="L136" s="140"/>
      <c r="M136" s="155"/>
      <c r="N136" s="155"/>
      <c r="O136" s="155"/>
      <c r="P136" s="155"/>
      <c r="Q136" s="155"/>
      <c r="AQ136" s="70"/>
      <c r="AR136" s="69"/>
      <c r="AS136" s="227" t="str">
        <f>print!B145</f>
        <v/>
      </c>
      <c r="AT136" s="227"/>
    </row>
    <row r="137" spans="1:46">
      <c r="A137" s="115"/>
      <c r="B137" s="212"/>
      <c r="C137" s="212"/>
      <c r="D137" s="212"/>
      <c r="E137" s="212"/>
      <c r="F137" s="98"/>
      <c r="G137" s="212"/>
      <c r="H137" s="212"/>
      <c r="I137" s="212"/>
      <c r="J137" s="212"/>
      <c r="K137" s="119"/>
      <c r="L137" s="140"/>
      <c r="AQ137" s="70"/>
      <c r="AR137" s="69"/>
      <c r="AS137" s="228" t="str">
        <f>print!B146</f>
        <v/>
      </c>
      <c r="AT137" s="228"/>
    </row>
    <row r="138" spans="1:46">
      <c r="A138" s="115"/>
      <c r="B138" s="212"/>
      <c r="C138" s="212"/>
      <c r="D138" s="212"/>
      <c r="E138" s="212"/>
      <c r="F138" s="98"/>
      <c r="G138" s="212"/>
      <c r="H138" s="212"/>
      <c r="I138" s="212"/>
      <c r="J138" s="212"/>
      <c r="K138" s="119"/>
      <c r="AQ138" s="70"/>
      <c r="AR138" s="69"/>
      <c r="AS138" s="227" t="str">
        <f>print!B147</f>
        <v/>
      </c>
      <c r="AT138" s="227"/>
    </row>
    <row r="139" spans="1:46" ht="15.75" thickBot="1">
      <c r="A139" s="133"/>
      <c r="B139" s="134"/>
      <c r="C139" s="134"/>
      <c r="D139" s="134"/>
      <c r="E139" s="134"/>
      <c r="F139" s="134"/>
      <c r="G139" s="134"/>
      <c r="H139" s="134"/>
      <c r="I139" s="134"/>
      <c r="J139" s="134"/>
      <c r="K139" s="135"/>
      <c r="AQ139" s="70"/>
      <c r="AR139" s="69"/>
      <c r="AS139" s="228" t="str">
        <f>print!B148</f>
        <v/>
      </c>
      <c r="AT139" s="228"/>
    </row>
    <row r="140" spans="1:46">
      <c r="AQ140" s="70"/>
      <c r="AR140" s="69"/>
      <c r="AS140" s="227" t="str">
        <f>print!B149</f>
        <v/>
      </c>
      <c r="AT140" s="227"/>
    </row>
    <row r="141" spans="1:46">
      <c r="AS141" s="228" t="str">
        <f>print!B150</f>
        <v/>
      </c>
      <c r="AT141" s="228"/>
    </row>
    <row r="142" spans="1:46">
      <c r="AS142" s="227" t="str">
        <f>print!B151</f>
        <v/>
      </c>
      <c r="AT142" s="227"/>
    </row>
    <row r="143" spans="1:46">
      <c r="AS143" s="228" t="str">
        <f>print!B152</f>
        <v/>
      </c>
      <c r="AT143" s="228"/>
    </row>
    <row r="144" spans="1:46">
      <c r="AS144" s="227" t="str">
        <f>print!B153</f>
        <v/>
      </c>
      <c r="AT144" s="227"/>
    </row>
    <row r="145" spans="45:46">
      <c r="AS145" s="228" t="str">
        <f>print!B154</f>
        <v/>
      </c>
      <c r="AT145" s="228"/>
    </row>
    <row r="146" spans="45:46">
      <c r="AS146" s="227" t="str">
        <f>print!B155</f>
        <v/>
      </c>
      <c r="AT146" s="227"/>
    </row>
    <row r="147" spans="45:46">
      <c r="AS147" s="228" t="str">
        <f>print!B156</f>
        <v/>
      </c>
      <c r="AT147" s="228"/>
    </row>
    <row r="148" spans="45:46">
      <c r="AS148" s="227" t="str">
        <f>print!B157</f>
        <v/>
      </c>
      <c r="AT148" s="227"/>
    </row>
    <row r="149" spans="45:46">
      <c r="AS149" s="228" t="str">
        <f>print!B158</f>
        <v/>
      </c>
      <c r="AT149" s="228"/>
    </row>
    <row r="150" spans="45:46">
      <c r="AS150" s="227" t="str">
        <f>print!B159</f>
        <v/>
      </c>
      <c r="AT150" s="227"/>
    </row>
    <row r="151" spans="45:46">
      <c r="AS151" s="228" t="str">
        <f>print!B160</f>
        <v/>
      </c>
      <c r="AT151" s="228"/>
    </row>
    <row r="152" spans="45:46">
      <c r="AS152" s="227" t="str">
        <f>print!B161</f>
        <v/>
      </c>
      <c r="AT152" s="227"/>
    </row>
    <row r="153" spans="45:46">
      <c r="AS153" s="228" t="str">
        <f>print!B162</f>
        <v/>
      </c>
      <c r="AT153" s="228"/>
    </row>
    <row r="154" spans="45:46">
      <c r="AS154" s="227" t="str">
        <f>print!B163</f>
        <v/>
      </c>
      <c r="AT154" s="227"/>
    </row>
    <row r="155" spans="45:46">
      <c r="AS155" s="228" t="str">
        <f>print!B164</f>
        <v/>
      </c>
      <c r="AT155" s="228"/>
    </row>
    <row r="156" spans="45:46">
      <c r="AS156" s="227" t="str">
        <f>print!B165</f>
        <v/>
      </c>
      <c r="AT156" s="227"/>
    </row>
    <row r="157" spans="45:46">
      <c r="AS157" s="228" t="str">
        <f>print!B166</f>
        <v/>
      </c>
      <c r="AT157" s="228"/>
    </row>
    <row r="158" spans="45:46">
      <c r="AS158" s="227" t="str">
        <f>print!B167</f>
        <v/>
      </c>
      <c r="AT158" s="227"/>
    </row>
    <row r="159" spans="45:46">
      <c r="AS159" s="228" t="str">
        <f>print!B168</f>
        <v/>
      </c>
      <c r="AT159" s="228"/>
    </row>
    <row r="160" spans="45:46">
      <c r="AS160" s="227" t="str">
        <f>print!B169</f>
        <v/>
      </c>
      <c r="AT160" s="227"/>
    </row>
  </sheetData>
  <sheetProtection sheet="1" objects="1" scenarios="1"/>
  <mergeCells count="202">
    <mergeCell ref="AS49:AV51"/>
    <mergeCell ref="AS47:AV48"/>
    <mergeCell ref="AS43:AV45"/>
    <mergeCell ref="AS46:AV46"/>
    <mergeCell ref="AS21:AV24"/>
    <mergeCell ref="AS27:AV30"/>
    <mergeCell ref="AS20:AV20"/>
    <mergeCell ref="AS26:AV26"/>
    <mergeCell ref="AS33:AV34"/>
    <mergeCell ref="AS39:AV40"/>
    <mergeCell ref="AS41:AV42"/>
    <mergeCell ref="AS37:AV38"/>
    <mergeCell ref="AS35:AV36"/>
    <mergeCell ref="AS153:AT153"/>
    <mergeCell ref="AS154:AT154"/>
    <mergeCell ref="AS155:AT155"/>
    <mergeCell ref="AS156:AT156"/>
    <mergeCell ref="AS157:AT157"/>
    <mergeCell ref="AS158:AT158"/>
    <mergeCell ref="AS159:AT159"/>
    <mergeCell ref="AS160:AT160"/>
    <mergeCell ref="AS74:AT79"/>
    <mergeCell ref="AS144:AT144"/>
    <mergeCell ref="AS145:AT145"/>
    <mergeCell ref="AS146:AT146"/>
    <mergeCell ref="AS147:AT147"/>
    <mergeCell ref="AS148:AT148"/>
    <mergeCell ref="AS149:AT149"/>
    <mergeCell ref="AS150:AT150"/>
    <mergeCell ref="AS151:AT151"/>
    <mergeCell ref="AS152:AT152"/>
    <mergeCell ref="AS135:AT135"/>
    <mergeCell ref="AS136:AT136"/>
    <mergeCell ref="AS137:AT137"/>
    <mergeCell ref="AS138:AT138"/>
    <mergeCell ref="AS139:AT139"/>
    <mergeCell ref="AS140:AT140"/>
    <mergeCell ref="AS121:AT121"/>
    <mergeCell ref="AS122:AT122"/>
    <mergeCell ref="AS123:AT123"/>
    <mergeCell ref="AS124:AT124"/>
    <mergeCell ref="AS141:AT141"/>
    <mergeCell ref="AS142:AT142"/>
    <mergeCell ref="AS143:AT143"/>
    <mergeCell ref="AS125:AT125"/>
    <mergeCell ref="AS126:AT126"/>
    <mergeCell ref="AS127:AT127"/>
    <mergeCell ref="AS128:AT128"/>
    <mergeCell ref="AS129:AT129"/>
    <mergeCell ref="AS130:AT130"/>
    <mergeCell ref="AS131:AT131"/>
    <mergeCell ref="AS133:AT133"/>
    <mergeCell ref="AS134:AT134"/>
    <mergeCell ref="N85:O85"/>
    <mergeCell ref="N86:O86"/>
    <mergeCell ref="N83:O83"/>
    <mergeCell ref="O99:P99"/>
    <mergeCell ref="O102:P102"/>
    <mergeCell ref="G120:J120"/>
    <mergeCell ref="AU115:AV120"/>
    <mergeCell ref="AS117:AT117"/>
    <mergeCell ref="AS118:AT118"/>
    <mergeCell ref="AS119:AT119"/>
    <mergeCell ref="AS120:AT120"/>
    <mergeCell ref="AS53:AV54"/>
    <mergeCell ref="AS52:AV52"/>
    <mergeCell ref="B81:H81"/>
    <mergeCell ref="G78:H78"/>
    <mergeCell ref="B78:E78"/>
    <mergeCell ref="N72:O72"/>
    <mergeCell ref="N73:O73"/>
    <mergeCell ref="N74:O74"/>
    <mergeCell ref="N67:O67"/>
    <mergeCell ref="N68:O68"/>
    <mergeCell ref="N69:O69"/>
    <mergeCell ref="N70:O70"/>
    <mergeCell ref="N71:O71"/>
    <mergeCell ref="AU67:AV72"/>
    <mergeCell ref="AU74:AV79"/>
    <mergeCell ref="AS67:AT72"/>
    <mergeCell ref="G132:J132"/>
    <mergeCell ref="G133:J133"/>
    <mergeCell ref="G134:J134"/>
    <mergeCell ref="G135:J135"/>
    <mergeCell ref="AS64:AV64"/>
    <mergeCell ref="AS62:AV63"/>
    <mergeCell ref="AS60:AV61"/>
    <mergeCell ref="AS58:AV59"/>
    <mergeCell ref="AS55:AV57"/>
    <mergeCell ref="G99:K101"/>
    <mergeCell ref="G103:K105"/>
    <mergeCell ref="AS102:AT107"/>
    <mergeCell ref="AS109:AT114"/>
    <mergeCell ref="AU81:AV86"/>
    <mergeCell ref="AU88:AV93"/>
    <mergeCell ref="AU95:AV100"/>
    <mergeCell ref="AU102:AV107"/>
    <mergeCell ref="AU109:AV114"/>
    <mergeCell ref="AS81:AT86"/>
    <mergeCell ref="AS88:AT93"/>
    <mergeCell ref="AS95:AT100"/>
    <mergeCell ref="I111:J111"/>
    <mergeCell ref="AF105:AG105"/>
    <mergeCell ref="G116:K116"/>
    <mergeCell ref="G138:J138"/>
    <mergeCell ref="B137:E137"/>
    <mergeCell ref="B138:E138"/>
    <mergeCell ref="G127:J127"/>
    <mergeCell ref="G128:J128"/>
    <mergeCell ref="B125:E125"/>
    <mergeCell ref="G121:J121"/>
    <mergeCell ref="G122:J122"/>
    <mergeCell ref="G123:J123"/>
    <mergeCell ref="G131:J131"/>
    <mergeCell ref="G136:J136"/>
    <mergeCell ref="G137:J137"/>
    <mergeCell ref="B126:E126"/>
    <mergeCell ref="B127:E127"/>
    <mergeCell ref="B128:E128"/>
    <mergeCell ref="B129:E129"/>
    <mergeCell ref="B130:E130"/>
    <mergeCell ref="B131:E131"/>
    <mergeCell ref="B132:E132"/>
    <mergeCell ref="B133:E133"/>
    <mergeCell ref="B134:E134"/>
    <mergeCell ref="G129:J129"/>
    <mergeCell ref="B135:E135"/>
    <mergeCell ref="B136:E136"/>
    <mergeCell ref="G117:J117"/>
    <mergeCell ref="G118:J118"/>
    <mergeCell ref="G126:J126"/>
    <mergeCell ref="G119:J119"/>
    <mergeCell ref="B118:D118"/>
    <mergeCell ref="B119:D119"/>
    <mergeCell ref="B120:D120"/>
    <mergeCell ref="B106:C106"/>
    <mergeCell ref="B107:C107"/>
    <mergeCell ref="B108:C108"/>
    <mergeCell ref="B121:D121"/>
    <mergeCell ref="B122:D122"/>
    <mergeCell ref="B123:D123"/>
    <mergeCell ref="G124:J124"/>
    <mergeCell ref="G125:J125"/>
    <mergeCell ref="B114:D114"/>
    <mergeCell ref="B117:D117"/>
    <mergeCell ref="B116:E116"/>
    <mergeCell ref="F24:H27"/>
    <mergeCell ref="G92:H92"/>
    <mergeCell ref="F22:H22"/>
    <mergeCell ref="B22:D22"/>
    <mergeCell ref="B83:H83"/>
    <mergeCell ref="B85:H85"/>
    <mergeCell ref="B74:C74"/>
    <mergeCell ref="F60:K60"/>
    <mergeCell ref="F61:K61"/>
    <mergeCell ref="F62:K62"/>
    <mergeCell ref="F63:K63"/>
    <mergeCell ref="F64:K64"/>
    <mergeCell ref="F65:K65"/>
    <mergeCell ref="F66:K66"/>
    <mergeCell ref="F67:K67"/>
    <mergeCell ref="F68:K68"/>
    <mergeCell ref="F69:K69"/>
    <mergeCell ref="F70:K70"/>
    <mergeCell ref="F71:K71"/>
    <mergeCell ref="F72:K72"/>
    <mergeCell ref="F73:K73"/>
    <mergeCell ref="F74:K74"/>
    <mergeCell ref="B103:C103"/>
    <mergeCell ref="C2:H2"/>
    <mergeCell ref="C4:H4"/>
    <mergeCell ref="C6:H6"/>
    <mergeCell ref="F89:G89"/>
    <mergeCell ref="B64:C64"/>
    <mergeCell ref="B65:C65"/>
    <mergeCell ref="C99:D99"/>
    <mergeCell ref="C100:D100"/>
    <mergeCell ref="B89:C89"/>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N24:P24"/>
    <mergeCell ref="M26:P26"/>
    <mergeCell ref="N28:P28"/>
    <mergeCell ref="M66:Q66"/>
    <mergeCell ref="M40:Q40"/>
    <mergeCell ref="M6:P6"/>
    <mergeCell ref="M7:P8"/>
    <mergeCell ref="M3:N3"/>
    <mergeCell ref="M22:P22"/>
    <mergeCell ref="M21:Q21"/>
  </mergeCells>
  <conditionalFormatting sqref="P15">
    <cfRule type="cellIs" dxfId="223" priority="7" operator="greaterThan">
      <formula>15</formula>
    </cfRule>
  </conditionalFormatting>
  <conditionalFormatting sqref="P10:P14">
    <cfRule type="cellIs" dxfId="222" priority="6" operator="greaterThan">
      <formula>5</formula>
    </cfRule>
  </conditionalFormatting>
  <conditionalFormatting sqref="M1:Q1048576">
    <cfRule type="expression" dxfId="221" priority="5">
      <formula>$M$3=$T$3</formula>
    </cfRule>
  </conditionalFormatting>
  <conditionalFormatting sqref="N10:O14 N24:P24 N28:P28 N42:N57 P83 P85">
    <cfRule type="expression" dxfId="220" priority="4">
      <formula>$M$3=$T$3</formula>
    </cfRule>
  </conditionalFormatting>
  <conditionalFormatting sqref="O102:P102 O99:P99 N67:O74">
    <cfRule type="expression" dxfId="219" priority="3">
      <formula>$M$3=$T$3</formula>
    </cfRule>
  </conditionalFormatting>
  <conditionalFormatting sqref="B114:D114 E117:E121 L115:L119 K117:K121">
    <cfRule type="expression" dxfId="218" priority="427">
      <formula>$B$111=$Y$115</formula>
    </cfRule>
  </conditionalFormatting>
  <conditionalFormatting sqref="B125:E138">
    <cfRule type="expression" dxfId="217" priority="431">
      <formula>OR($B$111=$AB$115,$B$111=$AC$115)</formula>
    </cfRule>
  </conditionalFormatting>
  <conditionalFormatting sqref="G132:J138">
    <cfRule type="expression" dxfId="216" priority="432">
      <formula>$B$111=$AB$115</formula>
    </cfRule>
  </conditionalFormatting>
  <conditionalFormatting sqref="G117:J121 B117:D120">
    <cfRule type="expression" dxfId="215" priority="433">
      <formula>OR($B$111=$Y$115,$B$111=$Z$115,$B$111=$AA$115,$B$111=$AD$115)</formula>
    </cfRule>
  </conditionalFormatting>
  <conditionalFormatting sqref="B121:D121">
    <cfRule type="expression" dxfId="214" priority="435">
      <formula>OR($B$111=$Y$115,$B$111=$Z$115,$B$111=$AA$115)</formula>
    </cfRule>
  </conditionalFormatting>
  <conditionalFormatting sqref="G122:J124">
    <cfRule type="expression" dxfId="213" priority="436">
      <formula>OR($B$111=$Z$115,$B$111=$AA$115)</formula>
    </cfRule>
  </conditionalFormatting>
  <conditionalFormatting sqref="G125:J129 B122:D123">
    <cfRule type="expression" dxfId="212" priority="437">
      <formula>$B$111=$Z$115</formula>
    </cfRule>
  </conditionalFormatting>
  <conditionalFormatting sqref="I111:J111 B114:D114">
    <cfRule type="expression" dxfId="211" priority="439">
      <formula>$B$111=$AC$115</formula>
    </cfRule>
  </conditionalFormatting>
  <dataValidations count="16">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B94:B96">
      <formula1>$AC$22:$AC$31</formula1>
    </dataValidation>
    <dataValidation type="list" allowBlank="1" showInputMessage="1" showErrorMessage="1" sqref="E17">
      <formula1>$AC$39:$AC$40</formula1>
    </dataValidation>
    <dataValidation type="list" allowBlank="1" showInputMessage="1" showErrorMessage="1" sqref="G78">
      <formula1>$AB$61:$AB$68</formula1>
    </dataValidation>
    <dataValidation type="list" allowBlank="1" showInputMessage="1" showErrorMessage="1" sqref="B103:C103">
      <formula1>$AF$90:$AF$99</formula1>
    </dataValidation>
    <dataValidation type="list" allowBlank="1" showInputMessage="1" showErrorMessage="1" sqref="B17">
      <formula1>$AA$9:$AA$18</formula1>
    </dataValidation>
    <dataValidation type="list" allowBlank="1" showInputMessage="1" showErrorMessage="1" sqref="G117:G129">
      <formula1>$T$115:$T$127</formula1>
    </dataValidation>
    <dataValidation type="list" allowBlank="1" showInputMessage="1" showErrorMessage="1" sqref="B114:D114">
      <formula1>$V$115:$V$134</formula1>
    </dataValidation>
    <dataValidation type="list" allowBlank="1" showInputMessage="1" showErrorMessage="1" sqref="B117:D123">
      <formula1>$S$115:$S$121</formula1>
    </dataValidation>
    <dataValidation type="list" allowBlank="1" showInputMessage="1" showErrorMessage="1" sqref="M3">
      <formula1>$T$2:$T$3</formula1>
    </dataValidation>
    <dataValidation type="list" allowBlank="1" showInputMessage="1" showErrorMessage="1" sqref="B67:C74 N67:O74">
      <formula1>$S$10:$S$85</formula1>
    </dataValidation>
    <dataValidation type="list" allowBlank="1" showInputMessage="1" showErrorMessage="1" sqref="C99:D99 O99:P99">
      <formula1>$S$92:$S$111</formula1>
    </dataValidation>
    <dataValidation type="list" allowBlank="1" showInputMessage="1" showErrorMessage="1" sqref="C100:D100 O102:P102">
      <formula1>$V$92:$V$111</formula1>
    </dataValidation>
    <dataValidation type="list" allowBlank="1" showInputMessage="1" showErrorMessage="1" sqref="B22:C22 F22:G22">
      <formula1>$AB$71:$AB$107</formula1>
    </dataValidation>
    <dataValidation type="list" allowBlank="1" showInputMessage="1" showErrorMessage="1" sqref="B106:C108">
      <formula1>$AH$90:$AH$101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topLeftCell="A65" workbookViewId="0">
      <selection activeCell="B26" sqref="B26:C26"/>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368</v>
      </c>
      <c r="C2" s="232">
        <f>builder!C2</f>
        <v>0</v>
      </c>
      <c r="D2" s="232"/>
      <c r="E2" s="232"/>
      <c r="F2" s="232"/>
      <c r="G2" s="232"/>
      <c r="H2" s="232"/>
      <c r="I2" s="232"/>
      <c r="J2" s="232"/>
      <c r="K2" s="232"/>
      <c r="L2" s="232"/>
      <c r="M2" s="232"/>
      <c r="N2" s="232"/>
      <c r="O2" s="232"/>
      <c r="P2" s="232"/>
      <c r="Q2" s="232"/>
      <c r="R2" s="232"/>
      <c r="S2" s="232"/>
    </row>
    <row r="3" spans="2:24">
      <c r="B3" t="s">
        <v>369</v>
      </c>
      <c r="C3" s="232">
        <f>builder!C4</f>
        <v>0</v>
      </c>
      <c r="D3" s="232"/>
      <c r="E3" s="232"/>
      <c r="F3" s="232"/>
      <c r="G3" s="232"/>
      <c r="H3" s="232"/>
      <c r="I3" s="232"/>
      <c r="J3" s="232"/>
      <c r="K3" s="232"/>
      <c r="L3" s="232"/>
      <c r="M3" s="232"/>
      <c r="N3" s="232"/>
      <c r="O3" s="232"/>
      <c r="P3" s="232"/>
      <c r="Q3" s="232"/>
      <c r="R3" s="232"/>
      <c r="S3" s="232"/>
    </row>
    <row r="4" spans="2:24">
      <c r="B4" t="s">
        <v>370</v>
      </c>
      <c r="C4" s="232">
        <f>builder!C6</f>
        <v>0</v>
      </c>
      <c r="D4" s="232"/>
      <c r="E4" s="232"/>
      <c r="F4" s="232"/>
      <c r="G4" s="232"/>
      <c r="H4" s="232"/>
      <c r="I4" s="232"/>
      <c r="J4" s="232"/>
      <c r="K4" s="232"/>
      <c r="L4" s="232"/>
      <c r="M4" s="232"/>
      <c r="N4" s="232"/>
      <c r="O4" s="232"/>
      <c r="P4" s="232"/>
      <c r="Q4" s="232"/>
      <c r="R4" s="232"/>
      <c r="S4" s="232"/>
    </row>
    <row r="5" spans="2:24">
      <c r="B5" t="s">
        <v>371</v>
      </c>
      <c r="C5" s="27">
        <f>builder!B17</f>
        <v>0</v>
      </c>
      <c r="F5" s="247" t="s">
        <v>88</v>
      </c>
      <c r="G5" s="248"/>
      <c r="H5" s="248"/>
      <c r="I5" s="248"/>
      <c r="J5" s="248"/>
      <c r="K5" s="248"/>
      <c r="L5" s="248"/>
      <c r="M5" s="248"/>
      <c r="N5" s="248"/>
      <c r="O5" s="249"/>
      <c r="W5" s="61"/>
      <c r="X5" s="61"/>
    </row>
    <row r="6" spans="2:24">
      <c r="B6" t="s">
        <v>372</v>
      </c>
      <c r="C6" s="27">
        <f>builder!F89</f>
        <v>0</v>
      </c>
      <c r="F6" s="254" t="str">
        <f>IF(builder!B92&lt;&gt;"--",builder!B92,"")</f>
        <v>Old Thean</v>
      </c>
      <c r="G6" s="253"/>
      <c r="H6" s="253"/>
      <c r="I6" s="253"/>
      <c r="J6" s="253"/>
      <c r="K6" s="253"/>
      <c r="L6" s="253"/>
      <c r="M6" s="253"/>
      <c r="N6" s="260" t="str">
        <f>IF(builder!B94&lt;&gt;"",builder!B94,"")</f>
        <v/>
      </c>
      <c r="O6" s="261"/>
    </row>
    <row r="7" spans="2:24">
      <c r="B7" t="s">
        <v>373</v>
      </c>
      <c r="C7" s="27">
        <f>builder!B89</f>
        <v>0</v>
      </c>
      <c r="F7" s="254" t="e">
        <f>IF(builder!B93&lt;&gt;"--",builder!B93,"")</f>
        <v>#N/A</v>
      </c>
      <c r="G7" s="253"/>
      <c r="H7" s="253"/>
      <c r="I7" s="253"/>
      <c r="J7" s="253"/>
      <c r="K7" s="253"/>
      <c r="L7" s="253"/>
      <c r="M7" s="253"/>
      <c r="N7" s="260" t="str">
        <f>IF(builder!B95&lt;&gt;"",builder!B95,"")</f>
        <v/>
      </c>
      <c r="O7" s="261"/>
    </row>
    <row r="8" spans="2:24">
      <c r="B8" t="s">
        <v>374</v>
      </c>
      <c r="C8" s="27">
        <f>builder!G92</f>
        <v>0</v>
      </c>
      <c r="F8" s="257" t="str">
        <f>IF(builder!B92&lt;&gt;"--",IF(builder!B96&lt;&gt;"",builder!B96,""),builder!C93)</f>
        <v/>
      </c>
      <c r="G8" s="258"/>
      <c r="H8" s="258"/>
      <c r="I8" s="258"/>
      <c r="J8" s="258"/>
      <c r="K8" s="258"/>
      <c r="L8" s="258"/>
      <c r="M8" s="258"/>
      <c r="N8" s="258"/>
      <c r="O8" s="259"/>
    </row>
    <row r="10" spans="2:24">
      <c r="B10" s="16" t="s">
        <v>18</v>
      </c>
      <c r="C10" s="4"/>
      <c r="D10" s="4"/>
      <c r="E10" s="4"/>
      <c r="F10" s="4"/>
      <c r="G10" s="4"/>
      <c r="H10" s="4"/>
      <c r="I10" s="4"/>
      <c r="J10" s="4"/>
      <c r="K10" s="4"/>
      <c r="L10" s="4"/>
      <c r="M10" s="4"/>
      <c r="N10" s="4"/>
      <c r="O10" s="4"/>
      <c r="P10" s="4"/>
      <c r="Q10" s="4"/>
      <c r="R10" s="4"/>
      <c r="S10" s="59"/>
    </row>
    <row r="11" spans="2:24">
      <c r="B11" s="6" t="s">
        <v>375</v>
      </c>
      <c r="C11" s="253">
        <f>IF(builder!O99&lt;&gt;"",builder!O99,builder!C99)</f>
        <v>0</v>
      </c>
      <c r="D11" s="253"/>
      <c r="E11" s="25" t="str">
        <f>builder!E99</f>
        <v/>
      </c>
      <c r="F11" s="25"/>
      <c r="G11" s="25"/>
      <c r="H11" s="25"/>
      <c r="I11" s="25"/>
      <c r="J11" s="25"/>
      <c r="K11" s="25"/>
      <c r="L11" s="25"/>
      <c r="M11" s="25"/>
      <c r="N11" s="25"/>
      <c r="O11" s="25"/>
      <c r="P11" s="25"/>
      <c r="Q11" s="25"/>
      <c r="R11" s="25"/>
      <c r="S11" s="8"/>
      <c r="V11" s="172"/>
    </row>
    <row r="12" spans="2:24" ht="15" customHeight="1">
      <c r="B12" s="268" t="e">
        <f>VLOOKUP(C11,builder!$S$92:$U$111,3)</f>
        <v>#N/A</v>
      </c>
      <c r="C12" s="269"/>
      <c r="D12" s="269"/>
      <c r="E12" s="269"/>
      <c r="F12" s="269"/>
      <c r="G12" s="269"/>
      <c r="H12" s="269"/>
      <c r="I12" s="269"/>
      <c r="J12" s="269"/>
      <c r="K12" s="269"/>
      <c r="L12" s="269"/>
      <c r="M12" s="269"/>
      <c r="N12" s="269"/>
      <c r="O12" s="269"/>
      <c r="P12" s="269"/>
      <c r="Q12" s="269"/>
      <c r="R12" s="269"/>
      <c r="S12" s="270"/>
      <c r="V12" s="172"/>
    </row>
    <row r="13" spans="2:24">
      <c r="B13" s="268"/>
      <c r="C13" s="269"/>
      <c r="D13" s="269"/>
      <c r="E13" s="269"/>
      <c r="F13" s="269"/>
      <c r="G13" s="269"/>
      <c r="H13" s="269"/>
      <c r="I13" s="269"/>
      <c r="J13" s="269"/>
      <c r="K13" s="269"/>
      <c r="L13" s="269"/>
      <c r="M13" s="269"/>
      <c r="N13" s="269"/>
      <c r="O13" s="269"/>
      <c r="P13" s="269"/>
      <c r="Q13" s="269"/>
      <c r="R13" s="269"/>
      <c r="S13" s="270"/>
      <c r="V13" s="172"/>
    </row>
    <row r="14" spans="2:24">
      <c r="B14" s="6" t="s">
        <v>376</v>
      </c>
      <c r="C14" s="253">
        <f>IF(builder!O102&lt;&gt;"",builder!O102,builder!C100)</f>
        <v>0</v>
      </c>
      <c r="D14" s="253"/>
      <c r="E14" s="25" t="str">
        <f>builder!E100</f>
        <v/>
      </c>
      <c r="F14" s="25"/>
      <c r="G14" s="25"/>
      <c r="H14" s="25"/>
      <c r="I14" s="25"/>
      <c r="J14" s="25"/>
      <c r="K14" s="25"/>
      <c r="L14" s="25"/>
      <c r="M14" s="25"/>
      <c r="N14" s="25"/>
      <c r="O14" s="25"/>
      <c r="P14" s="25"/>
      <c r="Q14" s="25"/>
      <c r="R14" s="25"/>
      <c r="S14" s="8"/>
      <c r="V14" s="172"/>
    </row>
    <row r="15" spans="2:24" ht="15" customHeight="1">
      <c r="B15" s="262" t="e">
        <f>VLOOKUP(C14,builder!$V$92:$X$111,3)</f>
        <v>#N/A</v>
      </c>
      <c r="C15" s="263"/>
      <c r="D15" s="263"/>
      <c r="E15" s="263"/>
      <c r="F15" s="263"/>
      <c r="G15" s="263"/>
      <c r="H15" s="263"/>
      <c r="I15" s="263"/>
      <c r="J15" s="263"/>
      <c r="K15" s="263"/>
      <c r="L15" s="263"/>
      <c r="M15" s="263"/>
      <c r="N15" s="263"/>
      <c r="O15" s="263"/>
      <c r="P15" s="263"/>
      <c r="Q15" s="263"/>
      <c r="R15" s="263"/>
      <c r="S15" s="264"/>
    </row>
    <row r="16" spans="2:24">
      <c r="B16" s="265"/>
      <c r="C16" s="266"/>
      <c r="D16" s="266"/>
      <c r="E16" s="266"/>
      <c r="F16" s="266"/>
      <c r="G16" s="266"/>
      <c r="H16" s="266"/>
      <c r="I16" s="266"/>
      <c r="J16" s="266"/>
      <c r="K16" s="266"/>
      <c r="L16" s="266"/>
      <c r="M16" s="266"/>
      <c r="N16" s="266"/>
      <c r="O16" s="266"/>
      <c r="P16" s="266"/>
      <c r="Q16" s="266"/>
      <c r="R16" s="266"/>
      <c r="S16" s="267"/>
    </row>
    <row r="18" spans="2:22">
      <c r="B18" s="250" t="s">
        <v>107</v>
      </c>
      <c r="C18" s="252"/>
      <c r="E18" s="250" t="s">
        <v>92</v>
      </c>
      <c r="F18" s="251"/>
      <c r="G18" s="251"/>
      <c r="H18" s="251"/>
      <c r="I18" s="251"/>
      <c r="J18" s="251"/>
      <c r="K18" s="251"/>
      <c r="L18" s="251"/>
      <c r="M18" s="251"/>
      <c r="N18" s="251"/>
      <c r="O18" s="251"/>
      <c r="P18" s="252"/>
      <c r="R18" s="250" t="s">
        <v>79</v>
      </c>
      <c r="S18" s="252"/>
      <c r="V18" s="172"/>
    </row>
    <row r="19" spans="2:22">
      <c r="B19" s="6" t="s">
        <v>102</v>
      </c>
      <c r="C19" s="29">
        <f>builder!F10</f>
        <v>2</v>
      </c>
      <c r="E19" s="274" t="s">
        <v>93</v>
      </c>
      <c r="F19" s="275"/>
      <c r="G19" s="22"/>
      <c r="H19" s="31">
        <f>builder!O42</f>
        <v>0</v>
      </c>
      <c r="I19" s="22"/>
      <c r="J19" s="22"/>
      <c r="K19" s="22"/>
      <c r="L19" s="275" t="s">
        <v>217</v>
      </c>
      <c r="M19" s="275"/>
      <c r="N19" s="275"/>
      <c r="O19" s="275"/>
      <c r="P19" s="29">
        <f>builder!O50</f>
        <v>0</v>
      </c>
      <c r="R19" s="3" t="s">
        <v>386</v>
      </c>
      <c r="S19" s="182">
        <f>builder!B78</f>
        <v>0</v>
      </c>
      <c r="V19" s="172"/>
    </row>
    <row r="20" spans="2:22">
      <c r="B20" s="6" t="s">
        <v>103</v>
      </c>
      <c r="C20" s="29">
        <f>builder!F11</f>
        <v>2</v>
      </c>
      <c r="E20" s="245" t="s">
        <v>94</v>
      </c>
      <c r="F20" s="246"/>
      <c r="G20" s="22"/>
      <c r="H20" s="31">
        <f>builder!O43</f>
        <v>0</v>
      </c>
      <c r="I20" s="22"/>
      <c r="J20" s="22"/>
      <c r="K20" s="22"/>
      <c r="L20" s="246" t="s">
        <v>218</v>
      </c>
      <c r="M20" s="246"/>
      <c r="N20" s="246"/>
      <c r="O20" s="246"/>
      <c r="P20" s="29">
        <f>builder!O51</f>
        <v>0</v>
      </c>
      <c r="R20" s="6" t="s">
        <v>971</v>
      </c>
      <c r="S20" s="183">
        <f>builder!G78</f>
        <v>0</v>
      </c>
      <c r="V20" s="172"/>
    </row>
    <row r="21" spans="2:22">
      <c r="B21" s="6" t="s">
        <v>104</v>
      </c>
      <c r="C21" s="29">
        <f>builder!F12</f>
        <v>2</v>
      </c>
      <c r="E21" s="245" t="s">
        <v>95</v>
      </c>
      <c r="F21" s="246"/>
      <c r="G21" s="22"/>
      <c r="H21" s="31">
        <f>builder!O44</f>
        <v>0</v>
      </c>
      <c r="I21" s="22"/>
      <c r="J21" s="22"/>
      <c r="K21" s="22"/>
      <c r="L21" s="246" t="s">
        <v>219</v>
      </c>
      <c r="M21" s="246"/>
      <c r="N21" s="246"/>
      <c r="O21" s="246"/>
      <c r="P21" s="29">
        <f>builder!O52</f>
        <v>0</v>
      </c>
      <c r="R21" s="6" t="s">
        <v>389</v>
      </c>
      <c r="S21" s="183">
        <f>builder!B81</f>
        <v>0</v>
      </c>
      <c r="V21" s="172"/>
    </row>
    <row r="22" spans="2:22">
      <c r="B22" s="6" t="s">
        <v>105</v>
      </c>
      <c r="C22" s="29">
        <f>builder!F13</f>
        <v>2</v>
      </c>
      <c r="E22" s="245" t="s">
        <v>96</v>
      </c>
      <c r="F22" s="246"/>
      <c r="G22" s="22"/>
      <c r="H22" s="31">
        <f>builder!O45</f>
        <v>0</v>
      </c>
      <c r="I22" s="22"/>
      <c r="J22" s="22"/>
      <c r="K22" s="22"/>
      <c r="L22" s="246" t="s">
        <v>220</v>
      </c>
      <c r="M22" s="246"/>
      <c r="N22" s="246"/>
      <c r="O22" s="246"/>
      <c r="P22" s="29">
        <f>builder!O53</f>
        <v>0</v>
      </c>
      <c r="R22" s="6" t="s">
        <v>387</v>
      </c>
      <c r="S22" s="183">
        <f>builder!B83</f>
        <v>0</v>
      </c>
    </row>
    <row r="23" spans="2:22">
      <c r="B23" s="9" t="s">
        <v>106</v>
      </c>
      <c r="C23" s="30">
        <f>builder!F14</f>
        <v>2</v>
      </c>
      <c r="E23" s="245" t="s">
        <v>213</v>
      </c>
      <c r="F23" s="246"/>
      <c r="G23" s="22"/>
      <c r="H23" s="31">
        <f>builder!O46</f>
        <v>0</v>
      </c>
      <c r="I23" s="22"/>
      <c r="J23" s="22"/>
      <c r="K23" s="22"/>
      <c r="L23" s="246" t="s">
        <v>221</v>
      </c>
      <c r="M23" s="246"/>
      <c r="N23" s="246"/>
      <c r="O23" s="246"/>
      <c r="P23" s="29">
        <f>builder!O54</f>
        <v>0</v>
      </c>
      <c r="R23" s="6" t="s">
        <v>388</v>
      </c>
      <c r="S23" s="183">
        <f>builder!B85</f>
        <v>0</v>
      </c>
    </row>
    <row r="24" spans="2:22">
      <c r="E24" s="245" t="s">
        <v>214</v>
      </c>
      <c r="F24" s="246"/>
      <c r="G24" s="22"/>
      <c r="H24" s="31">
        <f>builder!O47</f>
        <v>0</v>
      </c>
      <c r="I24" s="22"/>
      <c r="J24" s="22"/>
      <c r="K24" s="22"/>
      <c r="L24" s="246" t="s">
        <v>222</v>
      </c>
      <c r="M24" s="246"/>
      <c r="N24" s="246"/>
      <c r="O24" s="246"/>
      <c r="P24" s="29">
        <f>builder!O55</f>
        <v>0</v>
      </c>
      <c r="R24" s="6"/>
      <c r="S24" s="8"/>
    </row>
    <row r="25" spans="2:22">
      <c r="B25" s="255" t="s">
        <v>378</v>
      </c>
      <c r="C25" s="256"/>
      <c r="E25" s="245" t="s">
        <v>215</v>
      </c>
      <c r="F25" s="246"/>
      <c r="G25" s="22"/>
      <c r="H25" s="31">
        <f>builder!O48</f>
        <v>0</v>
      </c>
      <c r="I25" s="22"/>
      <c r="J25" s="22"/>
      <c r="K25" s="22"/>
      <c r="L25" s="246" t="s">
        <v>223</v>
      </c>
      <c r="M25" s="246"/>
      <c r="N25" s="246"/>
      <c r="O25" s="246"/>
      <c r="P25" s="29">
        <f>builder!O56</f>
        <v>0</v>
      </c>
      <c r="R25" s="6"/>
      <c r="S25" s="8"/>
    </row>
    <row r="26" spans="2:22">
      <c r="B26" s="271">
        <f>builder!B103</f>
        <v>0</v>
      </c>
      <c r="C26" s="272"/>
      <c r="E26" s="276" t="s">
        <v>216</v>
      </c>
      <c r="F26" s="273"/>
      <c r="G26" s="23"/>
      <c r="H26" s="32">
        <f>builder!O49</f>
        <v>0</v>
      </c>
      <c r="I26" s="23"/>
      <c r="J26" s="23"/>
      <c r="K26" s="23"/>
      <c r="L26" s="273" t="s">
        <v>224</v>
      </c>
      <c r="M26" s="273"/>
      <c r="N26" s="273"/>
      <c r="O26" s="273"/>
      <c r="P26" s="30">
        <f>builder!O57</f>
        <v>0</v>
      </c>
      <c r="R26" s="9"/>
      <c r="S26" s="11"/>
    </row>
    <row r="27" spans="2:22">
      <c r="B27" s="296" t="s">
        <v>1012</v>
      </c>
      <c r="C27" s="296"/>
      <c r="D27" s="258" t="s">
        <v>1013</v>
      </c>
      <c r="E27" s="258"/>
      <c r="F27" s="258"/>
      <c r="G27" s="258"/>
      <c r="H27" s="258"/>
      <c r="I27" s="258"/>
      <c r="J27" s="258"/>
      <c r="K27" s="258"/>
      <c r="L27" s="258"/>
      <c r="M27" s="258"/>
      <c r="N27" s="258"/>
      <c r="O27" s="258"/>
      <c r="P27" s="258"/>
      <c r="Q27" s="258"/>
      <c r="R27" s="295" t="s">
        <v>1014</v>
      </c>
      <c r="S27" s="295"/>
    </row>
    <row r="28" spans="2:22">
      <c r="B28" s="16" t="s">
        <v>97</v>
      </c>
      <c r="C28" s="4"/>
      <c r="D28" s="4"/>
      <c r="E28" s="4"/>
      <c r="F28" s="4"/>
      <c r="G28" s="4"/>
      <c r="H28" s="4"/>
      <c r="I28" s="4"/>
      <c r="J28" s="4"/>
      <c r="K28" s="4"/>
      <c r="L28" s="4"/>
      <c r="M28" s="4"/>
      <c r="N28" s="4"/>
      <c r="O28" s="4"/>
      <c r="P28" s="4"/>
      <c r="Q28" s="4"/>
      <c r="R28" s="4"/>
      <c r="S28" s="5"/>
    </row>
    <row r="29" spans="2:22">
      <c r="B29" s="254">
        <f>builder!B22</f>
        <v>0</v>
      </c>
      <c r="C29" s="253"/>
      <c r="D29" s="253"/>
      <c r="E29" s="7"/>
      <c r="F29" s="7"/>
      <c r="G29" s="7"/>
      <c r="H29" s="7"/>
      <c r="I29" s="7"/>
      <c r="J29" s="7"/>
      <c r="K29" s="7"/>
      <c r="L29" s="7"/>
      <c r="M29" s="7"/>
      <c r="N29" s="7"/>
      <c r="O29" s="7"/>
      <c r="P29" s="7"/>
      <c r="Q29" s="7"/>
      <c r="R29" s="7"/>
      <c r="S29" s="8"/>
    </row>
    <row r="30" spans="2:22">
      <c r="B30" s="233" t="e">
        <f>VLOOKUP(builder!$B$22,builder!$AF$9:$AQ$75,12)</f>
        <v>#N/A</v>
      </c>
      <c r="C30" s="234"/>
      <c r="D30" s="234"/>
      <c r="E30" s="234"/>
      <c r="F30" s="234"/>
      <c r="G30" s="234"/>
      <c r="H30" s="234"/>
      <c r="I30" s="234"/>
      <c r="J30" s="234"/>
      <c r="K30" s="234"/>
      <c r="L30" s="234"/>
      <c r="M30" s="234"/>
      <c r="N30" s="234"/>
      <c r="O30" s="234"/>
      <c r="P30" s="234"/>
      <c r="Q30" s="234"/>
      <c r="R30" s="234"/>
      <c r="S30" s="235"/>
    </row>
    <row r="31" spans="2:22">
      <c r="B31" s="233"/>
      <c r="C31" s="234"/>
      <c r="D31" s="234"/>
      <c r="E31" s="234"/>
      <c r="F31" s="234"/>
      <c r="G31" s="234"/>
      <c r="H31" s="234"/>
      <c r="I31" s="234"/>
      <c r="J31" s="234"/>
      <c r="K31" s="234"/>
      <c r="L31" s="234"/>
      <c r="M31" s="234"/>
      <c r="N31" s="234"/>
      <c r="O31" s="234"/>
      <c r="P31" s="234"/>
      <c r="Q31" s="234"/>
      <c r="R31" s="234"/>
      <c r="S31" s="235"/>
    </row>
    <row r="32" spans="2:22">
      <c r="B32" s="233" t="e">
        <f>CONCATENATE("Quirk: ",IF(builder!N24&lt;&gt;"",builder!N24,builder!B24))</f>
        <v>#N/A</v>
      </c>
      <c r="C32" s="234"/>
      <c r="D32" s="234"/>
      <c r="E32" s="234"/>
      <c r="F32" s="234"/>
      <c r="G32" s="234"/>
      <c r="H32" s="234"/>
      <c r="I32" s="234"/>
      <c r="J32" s="234"/>
      <c r="K32" s="234"/>
      <c r="L32" s="234"/>
      <c r="M32" s="234"/>
      <c r="N32" s="234"/>
      <c r="O32" s="234"/>
      <c r="P32" s="234"/>
      <c r="Q32" s="234"/>
      <c r="R32" s="234"/>
      <c r="S32" s="235"/>
    </row>
    <row r="33" spans="2:19">
      <c r="B33" s="233"/>
      <c r="C33" s="234"/>
      <c r="D33" s="234"/>
      <c r="E33" s="234"/>
      <c r="F33" s="234"/>
      <c r="G33" s="234"/>
      <c r="H33" s="234"/>
      <c r="I33" s="234"/>
      <c r="J33" s="234"/>
      <c r="K33" s="234"/>
      <c r="L33" s="234"/>
      <c r="M33" s="234"/>
      <c r="N33" s="234"/>
      <c r="O33" s="234"/>
      <c r="P33" s="234"/>
      <c r="Q33" s="234"/>
      <c r="R33" s="234"/>
      <c r="S33" s="235"/>
    </row>
    <row r="34" spans="2:19">
      <c r="B34" s="6"/>
      <c r="C34" s="7"/>
      <c r="D34" s="7"/>
      <c r="E34" s="7"/>
      <c r="F34" s="7"/>
      <c r="G34" s="7"/>
      <c r="H34" s="7"/>
      <c r="I34" s="7"/>
      <c r="J34" s="7"/>
      <c r="K34" s="7"/>
      <c r="L34" s="7"/>
      <c r="M34" s="7"/>
      <c r="N34" s="7"/>
      <c r="O34" s="7"/>
      <c r="P34" s="7"/>
      <c r="Q34" s="7"/>
      <c r="R34" s="7"/>
      <c r="S34" s="8"/>
    </row>
    <row r="35" spans="2:19">
      <c r="B35" s="254">
        <f>builder!F22</f>
        <v>0</v>
      </c>
      <c r="C35" s="253"/>
      <c r="D35" s="253"/>
      <c r="E35" s="7"/>
      <c r="F35" s="7"/>
      <c r="G35" s="7"/>
      <c r="H35" s="7"/>
      <c r="I35" s="7"/>
      <c r="J35" s="7"/>
      <c r="K35" s="7"/>
      <c r="L35" s="7"/>
      <c r="M35" s="7"/>
      <c r="N35" s="7"/>
      <c r="O35" s="7"/>
      <c r="P35" s="7"/>
      <c r="Q35" s="7"/>
      <c r="R35" s="7"/>
      <c r="S35" s="8"/>
    </row>
    <row r="36" spans="2:19">
      <c r="B36" s="233" t="e">
        <f>VLOOKUP(builder!$F$22,builder!$AF$9:$AQ$75,12)</f>
        <v>#N/A</v>
      </c>
      <c r="C36" s="234"/>
      <c r="D36" s="234"/>
      <c r="E36" s="234"/>
      <c r="F36" s="234"/>
      <c r="G36" s="234"/>
      <c r="H36" s="234"/>
      <c r="I36" s="234"/>
      <c r="J36" s="234"/>
      <c r="K36" s="234"/>
      <c r="L36" s="234"/>
      <c r="M36" s="234"/>
      <c r="N36" s="234"/>
      <c r="O36" s="234"/>
      <c r="P36" s="234"/>
      <c r="Q36" s="234"/>
      <c r="R36" s="234"/>
      <c r="S36" s="235"/>
    </row>
    <row r="37" spans="2:19">
      <c r="B37" s="233"/>
      <c r="C37" s="234"/>
      <c r="D37" s="234"/>
      <c r="E37" s="234"/>
      <c r="F37" s="234"/>
      <c r="G37" s="234"/>
      <c r="H37" s="234"/>
      <c r="I37" s="234"/>
      <c r="J37" s="234"/>
      <c r="K37" s="234"/>
      <c r="L37" s="234"/>
      <c r="M37" s="234"/>
      <c r="N37" s="234"/>
      <c r="O37" s="234"/>
      <c r="P37" s="234"/>
      <c r="Q37" s="234"/>
      <c r="R37" s="234"/>
      <c r="S37" s="235"/>
    </row>
    <row r="38" spans="2:19">
      <c r="B38" s="233" t="e">
        <f>CONCATENATE("Quirk: ",IF(builder!N28&lt;&gt;"",builder!N28,builder!F24))</f>
        <v>#N/A</v>
      </c>
      <c r="C38" s="234"/>
      <c r="D38" s="234"/>
      <c r="E38" s="234"/>
      <c r="F38" s="234"/>
      <c r="G38" s="234"/>
      <c r="H38" s="234"/>
      <c r="I38" s="234"/>
      <c r="J38" s="234"/>
      <c r="K38" s="234"/>
      <c r="L38" s="234"/>
      <c r="M38" s="234"/>
      <c r="N38" s="234"/>
      <c r="O38" s="234"/>
      <c r="P38" s="234"/>
      <c r="Q38" s="234"/>
      <c r="R38" s="234"/>
      <c r="S38" s="235"/>
    </row>
    <row r="39" spans="2:19">
      <c r="B39" s="236"/>
      <c r="C39" s="237"/>
      <c r="D39" s="237"/>
      <c r="E39" s="237"/>
      <c r="F39" s="237"/>
      <c r="G39" s="237"/>
      <c r="H39" s="237"/>
      <c r="I39" s="237"/>
      <c r="J39" s="237"/>
      <c r="K39" s="237"/>
      <c r="L39" s="237"/>
      <c r="M39" s="237"/>
      <c r="N39" s="237"/>
      <c r="O39" s="237"/>
      <c r="P39" s="237"/>
      <c r="Q39" s="237"/>
      <c r="R39" s="237"/>
      <c r="S39" s="238"/>
    </row>
    <row r="40" spans="2:19" ht="15.75" thickBot="1"/>
    <row r="41" spans="2:19" ht="15.75" thickBot="1">
      <c r="B41" t="s">
        <v>379</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380</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381</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1" t="str">
        <f>IF(COUNTIF('adv shuffle'!B2:B23,builder!S37)&gt;0,"Hard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shuffle'!B2:B23,builder!S37)&gt;0,"Hard to Kill 5th: You are helpless","")</f>
        <v/>
      </c>
      <c r="E49" s="7"/>
      <c r="F49" s="7"/>
      <c r="G49" s="7"/>
      <c r="H49" s="7"/>
      <c r="I49" s="7"/>
      <c r="J49" s="7"/>
      <c r="K49" s="7"/>
      <c r="L49" s="7"/>
      <c r="M49" s="7"/>
      <c r="N49" s="7"/>
      <c r="Q49" s="281">
        <f ca="1">NOW()</f>
        <v>42559.353570486113</v>
      </c>
      <c r="R49" s="281"/>
      <c r="S49" s="281"/>
    </row>
    <row r="50" spans="2:19">
      <c r="B50" s="240">
        <f>$C$2</f>
        <v>0</v>
      </c>
      <c r="C50" s="241"/>
      <c r="D50" s="241"/>
      <c r="E50" s="241"/>
      <c r="F50" s="241"/>
      <c r="G50" s="241"/>
      <c r="H50" s="241"/>
      <c r="I50" s="241"/>
      <c r="J50" s="241"/>
      <c r="K50" s="241"/>
      <c r="L50" s="241"/>
      <c r="M50" s="241"/>
      <c r="N50" s="241"/>
      <c r="O50" s="241"/>
      <c r="P50" s="241"/>
      <c r="Q50" s="241"/>
      <c r="R50" s="241"/>
      <c r="S50" s="242"/>
    </row>
    <row r="51" spans="2:19" s="24" customFormat="1" ht="4.5" customHeight="1">
      <c r="B51" s="54"/>
      <c r="C51" s="54"/>
      <c r="D51" s="54"/>
      <c r="E51" s="54"/>
      <c r="F51" s="54"/>
      <c r="G51" s="54"/>
      <c r="H51" s="54"/>
      <c r="I51" s="54"/>
      <c r="J51" s="54"/>
      <c r="K51" s="54"/>
      <c r="L51" s="54"/>
      <c r="M51" s="54"/>
      <c r="N51" s="54"/>
      <c r="O51" s="54"/>
      <c r="P51" s="54"/>
      <c r="Q51" s="54"/>
      <c r="R51" s="54"/>
      <c r="S51" s="54"/>
    </row>
    <row r="52" spans="2:19">
      <c r="B52" s="244" t="s">
        <v>0</v>
      </c>
      <c r="C52" s="244"/>
      <c r="D52" s="244"/>
      <c r="E52" s="244"/>
      <c r="F52" s="244"/>
      <c r="G52" s="244"/>
      <c r="H52" s="244"/>
      <c r="I52" s="244"/>
      <c r="J52" s="244"/>
      <c r="K52" s="244"/>
      <c r="L52" s="244"/>
      <c r="M52" s="244"/>
      <c r="N52" s="244"/>
      <c r="O52" s="244"/>
      <c r="P52" s="244"/>
      <c r="Q52" s="244"/>
      <c r="R52" s="244"/>
      <c r="S52" s="244"/>
    </row>
    <row r="53" spans="2:19">
      <c r="B53" s="239" t="str">
        <f>'adv shuffle'!M2</f>
        <v/>
      </c>
      <c r="C53" s="239"/>
      <c r="D53" s="239"/>
      <c r="E53" s="41"/>
      <c r="F53" s="41"/>
      <c r="G53" s="41"/>
      <c r="H53" s="41"/>
      <c r="I53" s="41"/>
      <c r="J53" s="41"/>
      <c r="K53" s="41"/>
      <c r="L53" s="41"/>
      <c r="M53" s="41"/>
      <c r="N53" s="41"/>
      <c r="O53" s="41"/>
      <c r="P53" s="41"/>
      <c r="Q53" s="41"/>
      <c r="R53" s="41"/>
      <c r="S53" s="41"/>
    </row>
    <row r="54" spans="2:19">
      <c r="B54" s="231" t="str">
        <f>IF(B53&lt;&gt;"",VLOOKUP(B53,builder!$S$10:$Y$85,7),"")</f>
        <v/>
      </c>
      <c r="C54" s="231"/>
      <c r="D54" s="231"/>
      <c r="E54" s="231"/>
      <c r="F54" s="231"/>
      <c r="G54" s="231"/>
      <c r="H54" s="231"/>
      <c r="I54" s="231"/>
      <c r="J54" s="231"/>
      <c r="K54" s="231"/>
      <c r="L54" s="231"/>
      <c r="M54" s="231"/>
      <c r="N54" s="231"/>
      <c r="O54" s="231"/>
      <c r="P54" s="231"/>
      <c r="Q54" s="231"/>
      <c r="R54" s="231"/>
      <c r="S54" s="231"/>
    </row>
    <row r="55" spans="2:19" ht="55.5" customHeight="1">
      <c r="B55" s="231"/>
      <c r="C55" s="231"/>
      <c r="D55" s="231"/>
      <c r="E55" s="231"/>
      <c r="F55" s="231"/>
      <c r="G55" s="231"/>
      <c r="H55" s="231"/>
      <c r="I55" s="231"/>
      <c r="J55" s="231"/>
      <c r="K55" s="231"/>
      <c r="L55" s="231"/>
      <c r="M55" s="231"/>
      <c r="N55" s="231"/>
      <c r="O55" s="231"/>
      <c r="P55" s="231"/>
      <c r="Q55" s="231"/>
      <c r="R55" s="231"/>
      <c r="S55" s="231"/>
    </row>
    <row r="56" spans="2:19">
      <c r="B56" s="239" t="str">
        <f>'adv shuffle'!M3</f>
        <v/>
      </c>
      <c r="C56" s="239"/>
      <c r="D56" s="239"/>
      <c r="E56" s="41"/>
      <c r="F56" s="41"/>
      <c r="G56" s="41"/>
      <c r="H56" s="41"/>
      <c r="I56" s="41"/>
      <c r="J56" s="41"/>
      <c r="K56" s="41"/>
      <c r="L56" s="41"/>
      <c r="M56" s="41"/>
      <c r="N56" s="41"/>
      <c r="O56" s="41"/>
      <c r="P56" s="41"/>
      <c r="Q56" s="41"/>
      <c r="R56" s="41"/>
      <c r="S56" s="41"/>
    </row>
    <row r="57" spans="2:19">
      <c r="B57" s="231" t="str">
        <f>IF(B56&lt;&gt;"",VLOOKUP(B56,builder!$S$10:$Y$85,7),"")</f>
        <v/>
      </c>
      <c r="C57" s="231"/>
      <c r="D57" s="231"/>
      <c r="E57" s="231"/>
      <c r="F57" s="231"/>
      <c r="G57" s="231"/>
      <c r="H57" s="231"/>
      <c r="I57" s="231"/>
      <c r="J57" s="231"/>
      <c r="K57" s="231"/>
      <c r="L57" s="231"/>
      <c r="M57" s="231"/>
      <c r="N57" s="231"/>
      <c r="O57" s="231"/>
      <c r="P57" s="231"/>
      <c r="Q57" s="231"/>
      <c r="R57" s="231"/>
      <c r="S57" s="231"/>
    </row>
    <row r="58" spans="2:19" ht="55.5" customHeight="1">
      <c r="B58" s="231"/>
      <c r="C58" s="231"/>
      <c r="D58" s="231"/>
      <c r="E58" s="231"/>
      <c r="F58" s="231"/>
      <c r="G58" s="231"/>
      <c r="H58" s="231"/>
      <c r="I58" s="231"/>
      <c r="J58" s="231"/>
      <c r="K58" s="231"/>
      <c r="L58" s="231"/>
      <c r="M58" s="231"/>
      <c r="N58" s="231"/>
      <c r="O58" s="231"/>
      <c r="P58" s="231"/>
      <c r="Q58" s="231"/>
      <c r="R58" s="231"/>
      <c r="S58" s="231"/>
    </row>
    <row r="59" spans="2:19">
      <c r="B59" s="239" t="str">
        <f>'adv shuffle'!M4</f>
        <v/>
      </c>
      <c r="C59" s="239"/>
      <c r="D59" s="239"/>
      <c r="E59" s="41"/>
      <c r="F59" s="41"/>
      <c r="G59" s="41"/>
      <c r="H59" s="41"/>
      <c r="I59" s="41"/>
      <c r="J59" s="41"/>
      <c r="K59" s="41"/>
      <c r="L59" s="41"/>
      <c r="M59" s="41"/>
      <c r="N59" s="41"/>
      <c r="O59" s="41"/>
      <c r="P59" s="41"/>
      <c r="Q59" s="41"/>
      <c r="R59" s="41"/>
      <c r="S59" s="41"/>
    </row>
    <row r="60" spans="2:19">
      <c r="B60" s="231" t="str">
        <f>IF(B59&lt;&gt;"",VLOOKUP(B59,builder!$S$10:$Y$85,7),"")</f>
        <v/>
      </c>
      <c r="C60" s="231"/>
      <c r="D60" s="231"/>
      <c r="E60" s="231"/>
      <c r="F60" s="231"/>
      <c r="G60" s="231"/>
      <c r="H60" s="231"/>
      <c r="I60" s="231"/>
      <c r="J60" s="231"/>
      <c r="K60" s="231"/>
      <c r="L60" s="231"/>
      <c r="M60" s="231"/>
      <c r="N60" s="231"/>
      <c r="O60" s="231"/>
      <c r="P60" s="231"/>
      <c r="Q60" s="231"/>
      <c r="R60" s="231"/>
      <c r="S60" s="231"/>
    </row>
    <row r="61" spans="2:19" ht="55.5" customHeight="1">
      <c r="B61" s="231"/>
      <c r="C61" s="231"/>
      <c r="D61" s="231"/>
      <c r="E61" s="231"/>
      <c r="F61" s="231"/>
      <c r="G61" s="231"/>
      <c r="H61" s="231"/>
      <c r="I61" s="231"/>
      <c r="J61" s="231"/>
      <c r="K61" s="231"/>
      <c r="L61" s="231"/>
      <c r="M61" s="231"/>
      <c r="N61" s="231"/>
      <c r="O61" s="231"/>
      <c r="P61" s="231"/>
      <c r="Q61" s="231"/>
      <c r="R61" s="231"/>
      <c r="S61" s="231"/>
    </row>
    <row r="62" spans="2:19">
      <c r="B62" s="239" t="str">
        <f>'adv shuffle'!M5</f>
        <v/>
      </c>
      <c r="C62" s="239"/>
      <c r="D62" s="239"/>
      <c r="E62" s="41"/>
      <c r="F62" s="41"/>
      <c r="G62" s="41"/>
      <c r="H62" s="41"/>
      <c r="I62" s="41"/>
      <c r="J62" s="41"/>
      <c r="K62" s="41"/>
      <c r="L62" s="41"/>
      <c r="M62" s="41"/>
      <c r="N62" s="41"/>
      <c r="O62" s="41"/>
      <c r="P62" s="41"/>
      <c r="Q62" s="41"/>
      <c r="R62" s="41"/>
      <c r="S62" s="41"/>
    </row>
    <row r="63" spans="2:19">
      <c r="B63" s="231" t="str">
        <f>IF(B62&lt;&gt;"",VLOOKUP(B62,builder!$S$10:$Y$85,7),"")</f>
        <v/>
      </c>
      <c r="C63" s="231"/>
      <c r="D63" s="231"/>
      <c r="E63" s="231"/>
      <c r="F63" s="231"/>
      <c r="G63" s="231"/>
      <c r="H63" s="231"/>
      <c r="I63" s="231"/>
      <c r="J63" s="231"/>
      <c r="K63" s="231"/>
      <c r="L63" s="231"/>
      <c r="M63" s="231"/>
      <c r="N63" s="231"/>
      <c r="O63" s="231"/>
      <c r="P63" s="231"/>
      <c r="Q63" s="231"/>
      <c r="R63" s="231"/>
      <c r="S63" s="231"/>
    </row>
    <row r="64" spans="2:19" ht="55.5" customHeight="1">
      <c r="B64" s="231"/>
      <c r="C64" s="231"/>
      <c r="D64" s="231"/>
      <c r="E64" s="231"/>
      <c r="F64" s="231"/>
      <c r="G64" s="231"/>
      <c r="H64" s="231"/>
      <c r="I64" s="231"/>
      <c r="J64" s="231"/>
      <c r="K64" s="231"/>
      <c r="L64" s="231"/>
      <c r="M64" s="231"/>
      <c r="N64" s="231"/>
      <c r="O64" s="231"/>
      <c r="P64" s="231"/>
      <c r="Q64" s="231"/>
      <c r="R64" s="231"/>
      <c r="S64" s="231"/>
    </row>
    <row r="65" spans="2:23">
      <c r="B65" s="239" t="str">
        <f>'adv shuffle'!M6</f>
        <v/>
      </c>
      <c r="C65" s="239"/>
      <c r="D65" s="239"/>
      <c r="E65" s="41"/>
      <c r="F65" s="41"/>
      <c r="G65" s="41"/>
      <c r="H65" s="41"/>
      <c r="I65" s="41"/>
      <c r="J65" s="41"/>
      <c r="K65" s="41"/>
      <c r="L65" s="41"/>
      <c r="M65" s="41"/>
      <c r="N65" s="41"/>
      <c r="O65" s="41"/>
      <c r="P65" s="41"/>
      <c r="Q65" s="41"/>
      <c r="R65" s="41"/>
      <c r="S65" s="41"/>
    </row>
    <row r="66" spans="2:23">
      <c r="B66" s="231" t="str">
        <f>IF(B65&lt;&gt;"",VLOOKUP(B65,builder!$S$10:$Y$85,7),"")</f>
        <v/>
      </c>
      <c r="C66" s="231"/>
      <c r="D66" s="231"/>
      <c r="E66" s="231"/>
      <c r="F66" s="231"/>
      <c r="G66" s="231"/>
      <c r="H66" s="231"/>
      <c r="I66" s="231"/>
      <c r="J66" s="231"/>
      <c r="K66" s="231"/>
      <c r="L66" s="231"/>
      <c r="M66" s="231"/>
      <c r="N66" s="231"/>
      <c r="O66" s="231"/>
      <c r="P66" s="231"/>
      <c r="Q66" s="231"/>
      <c r="R66" s="231"/>
      <c r="S66" s="231"/>
    </row>
    <row r="67" spans="2:23" ht="55.5" customHeight="1">
      <c r="B67" s="231"/>
      <c r="C67" s="231"/>
      <c r="D67" s="231"/>
      <c r="E67" s="231"/>
      <c r="F67" s="231"/>
      <c r="G67" s="231"/>
      <c r="H67" s="231"/>
      <c r="I67" s="231"/>
      <c r="J67" s="231"/>
      <c r="K67" s="231"/>
      <c r="L67" s="231"/>
      <c r="M67" s="231"/>
      <c r="N67" s="231"/>
      <c r="O67" s="231"/>
      <c r="P67" s="231"/>
      <c r="Q67" s="231"/>
      <c r="R67" s="231"/>
      <c r="S67" s="231"/>
      <c r="U67" s="27"/>
      <c r="V67" s="27"/>
      <c r="W67" s="27"/>
    </row>
    <row r="68" spans="2:23">
      <c r="B68" s="239" t="str">
        <f>'adv shuffle'!M7</f>
        <v/>
      </c>
      <c r="C68" s="239"/>
      <c r="D68" s="239"/>
      <c r="E68" s="41"/>
      <c r="F68" s="41"/>
      <c r="G68" s="41"/>
      <c r="H68" s="41"/>
      <c r="I68" s="41"/>
      <c r="J68" s="41"/>
      <c r="K68" s="41"/>
      <c r="L68" s="41"/>
      <c r="M68" s="41"/>
      <c r="N68" s="41"/>
      <c r="O68" s="41"/>
      <c r="P68" s="41"/>
      <c r="Q68" s="41"/>
      <c r="R68" s="41"/>
      <c r="S68" s="41"/>
      <c r="U68" s="27"/>
      <c r="V68" s="27"/>
      <c r="W68" s="27"/>
    </row>
    <row r="69" spans="2:23">
      <c r="B69" s="231" t="str">
        <f>IF(B68&lt;&gt;"",VLOOKUP(B68,builder!$S$10:$Y$85,7),"")</f>
        <v/>
      </c>
      <c r="C69" s="231"/>
      <c r="D69" s="231"/>
      <c r="E69" s="231"/>
      <c r="F69" s="231"/>
      <c r="G69" s="231"/>
      <c r="H69" s="231"/>
      <c r="I69" s="231"/>
      <c r="J69" s="231"/>
      <c r="K69" s="231"/>
      <c r="L69" s="231"/>
      <c r="M69" s="231"/>
      <c r="N69" s="231"/>
      <c r="O69" s="231"/>
      <c r="P69" s="231"/>
      <c r="Q69" s="231"/>
      <c r="R69" s="231"/>
      <c r="S69" s="231"/>
    </row>
    <row r="70" spans="2:23" ht="55.5" customHeight="1">
      <c r="B70" s="231"/>
      <c r="C70" s="231"/>
      <c r="D70" s="231"/>
      <c r="E70" s="231"/>
      <c r="F70" s="231"/>
      <c r="G70" s="231"/>
      <c r="H70" s="231"/>
      <c r="I70" s="231"/>
      <c r="J70" s="231"/>
      <c r="K70" s="231"/>
      <c r="L70" s="231"/>
      <c r="M70" s="231"/>
      <c r="N70" s="231"/>
      <c r="O70" s="231"/>
      <c r="P70" s="231"/>
      <c r="Q70" s="231"/>
      <c r="R70" s="231"/>
      <c r="S70" s="231"/>
    </row>
    <row r="71" spans="2:23">
      <c r="B71" s="239" t="str">
        <f>'adv shuffle'!M8</f>
        <v/>
      </c>
      <c r="C71" s="239"/>
      <c r="D71" s="239"/>
      <c r="E71" s="41"/>
      <c r="F71" s="41"/>
      <c r="G71" s="41"/>
      <c r="H71" s="41"/>
      <c r="I71" s="41"/>
      <c r="J71" s="41"/>
      <c r="K71" s="41"/>
      <c r="L71" s="41"/>
      <c r="M71" s="41"/>
      <c r="N71" s="41"/>
      <c r="O71" s="41"/>
      <c r="P71" s="41"/>
      <c r="Q71" s="41"/>
      <c r="R71" s="41"/>
      <c r="S71" s="41"/>
    </row>
    <row r="72" spans="2:23">
      <c r="B72" s="231" t="str">
        <f>IF(B71&lt;&gt;"",VLOOKUP(B71,builder!$S$10:$Y$85,7),"")</f>
        <v/>
      </c>
      <c r="C72" s="231"/>
      <c r="D72" s="231"/>
      <c r="E72" s="231"/>
      <c r="F72" s="231"/>
      <c r="G72" s="231"/>
      <c r="H72" s="231"/>
      <c r="I72" s="231"/>
      <c r="J72" s="231"/>
      <c r="K72" s="231"/>
      <c r="L72" s="231"/>
      <c r="M72" s="231"/>
      <c r="N72" s="231"/>
      <c r="O72" s="231"/>
      <c r="P72" s="231"/>
      <c r="Q72" s="231"/>
      <c r="R72" s="231"/>
      <c r="S72" s="231"/>
    </row>
    <row r="73" spans="2:23" ht="55.5" customHeight="1">
      <c r="B73" s="231"/>
      <c r="C73" s="231"/>
      <c r="D73" s="231"/>
      <c r="E73" s="231"/>
      <c r="F73" s="231"/>
      <c r="G73" s="231"/>
      <c r="H73" s="231"/>
      <c r="I73" s="231"/>
      <c r="J73" s="231"/>
      <c r="K73" s="231"/>
      <c r="L73" s="231"/>
      <c r="M73" s="231"/>
      <c r="N73" s="231"/>
      <c r="O73" s="231"/>
      <c r="P73" s="231"/>
      <c r="Q73" s="231"/>
      <c r="R73" s="231"/>
      <c r="S73" s="231"/>
    </row>
    <row r="74" spans="2:23" s="24" customFormat="1" ht="71.25" customHeight="1">
      <c r="B74" s="42"/>
      <c r="C74" s="42"/>
      <c r="D74" s="42"/>
      <c r="E74" s="42"/>
      <c r="F74" s="42"/>
      <c r="G74" s="42"/>
      <c r="H74" s="42"/>
      <c r="I74" s="42"/>
      <c r="J74" s="42"/>
      <c r="K74" s="42"/>
      <c r="L74" s="42"/>
      <c r="M74" s="42"/>
      <c r="N74" s="42"/>
      <c r="O74" s="42"/>
      <c r="P74" s="42"/>
      <c r="Q74" s="243">
        <f ca="1">NOW()</f>
        <v>42559.353570486113</v>
      </c>
      <c r="R74" s="243"/>
      <c r="S74" s="243"/>
    </row>
    <row r="75" spans="2:23" s="24" customFormat="1">
      <c r="B75" s="240">
        <f>$C$2</f>
        <v>0</v>
      </c>
      <c r="C75" s="241"/>
      <c r="D75" s="241"/>
      <c r="E75" s="241"/>
      <c r="F75" s="241"/>
      <c r="G75" s="241"/>
      <c r="H75" s="241"/>
      <c r="I75" s="241"/>
      <c r="J75" s="241"/>
      <c r="K75" s="241"/>
      <c r="L75" s="241"/>
      <c r="M75" s="241"/>
      <c r="N75" s="241"/>
      <c r="O75" s="241"/>
      <c r="P75" s="241"/>
      <c r="Q75" s="241"/>
      <c r="R75" s="241"/>
      <c r="S75" s="242"/>
    </row>
    <row r="76" spans="2:23">
      <c r="B76" s="239" t="str">
        <f>'adv shuffle'!M9</f>
        <v/>
      </c>
      <c r="C76" s="239"/>
      <c r="D76" s="239"/>
      <c r="E76" s="41"/>
      <c r="F76" s="41"/>
      <c r="G76" s="41"/>
      <c r="H76" s="41"/>
      <c r="I76" s="41"/>
      <c r="J76" s="41"/>
      <c r="K76" s="41"/>
      <c r="L76" s="41"/>
      <c r="M76" s="41"/>
      <c r="N76" s="41"/>
      <c r="O76" s="41"/>
      <c r="P76" s="41"/>
      <c r="Q76" s="41"/>
      <c r="R76" s="41"/>
      <c r="S76" s="41"/>
    </row>
    <row r="77" spans="2:23">
      <c r="B77" s="231" t="str">
        <f>IF(B76&lt;&gt;"",VLOOKUP(B76,builder!$S$10:$Y$85,7),"")</f>
        <v/>
      </c>
      <c r="C77" s="231"/>
      <c r="D77" s="231"/>
      <c r="E77" s="231"/>
      <c r="F77" s="231"/>
      <c r="G77" s="231"/>
      <c r="H77" s="231"/>
      <c r="I77" s="231"/>
      <c r="J77" s="231"/>
      <c r="K77" s="231"/>
      <c r="L77" s="231"/>
      <c r="M77" s="231"/>
      <c r="N77" s="231"/>
      <c r="O77" s="231"/>
      <c r="P77" s="231"/>
      <c r="Q77" s="231"/>
      <c r="R77" s="231"/>
      <c r="S77" s="231"/>
    </row>
    <row r="78" spans="2:23" ht="55.5" customHeight="1">
      <c r="B78" s="231"/>
      <c r="C78" s="231"/>
      <c r="D78" s="231"/>
      <c r="E78" s="231"/>
      <c r="F78" s="231"/>
      <c r="G78" s="231"/>
      <c r="H78" s="231"/>
      <c r="I78" s="231"/>
      <c r="J78" s="231"/>
      <c r="K78" s="231"/>
      <c r="L78" s="231"/>
      <c r="M78" s="231"/>
      <c r="N78" s="231"/>
      <c r="O78" s="231"/>
      <c r="P78" s="231"/>
      <c r="Q78" s="231"/>
      <c r="R78" s="231"/>
      <c r="S78" s="231"/>
    </row>
    <row r="79" spans="2:23">
      <c r="B79" s="239" t="str">
        <f>'adv shuffle'!M10</f>
        <v/>
      </c>
      <c r="C79" s="239"/>
      <c r="D79" s="239"/>
      <c r="E79" s="41"/>
      <c r="F79" s="41"/>
      <c r="G79" s="41"/>
      <c r="H79" s="41"/>
      <c r="I79" s="41"/>
      <c r="J79" s="41"/>
      <c r="K79" s="41"/>
      <c r="L79" s="41"/>
      <c r="M79" s="41"/>
      <c r="N79" s="41"/>
      <c r="O79" s="41"/>
      <c r="P79" s="41"/>
      <c r="Q79" s="41"/>
      <c r="R79" s="41"/>
      <c r="S79" s="41"/>
    </row>
    <row r="80" spans="2:23">
      <c r="B80" s="231" t="str">
        <f>IF(B79&lt;&gt;"",VLOOKUP(B79,builder!$S$10:$Y$85,7),"")</f>
        <v/>
      </c>
      <c r="C80" s="231"/>
      <c r="D80" s="231"/>
      <c r="E80" s="231"/>
      <c r="F80" s="231"/>
      <c r="G80" s="231"/>
      <c r="H80" s="231"/>
      <c r="I80" s="231"/>
      <c r="J80" s="231"/>
      <c r="K80" s="231"/>
      <c r="L80" s="231"/>
      <c r="M80" s="231"/>
      <c r="N80" s="231"/>
      <c r="O80" s="231"/>
      <c r="P80" s="231"/>
      <c r="Q80" s="231"/>
      <c r="R80" s="231"/>
      <c r="S80" s="231"/>
    </row>
    <row r="81" spans="2:19" ht="55.5" customHeight="1">
      <c r="B81" s="231"/>
      <c r="C81" s="231"/>
      <c r="D81" s="231"/>
      <c r="E81" s="231"/>
      <c r="F81" s="231"/>
      <c r="G81" s="231"/>
      <c r="H81" s="231"/>
      <c r="I81" s="231"/>
      <c r="J81" s="231"/>
      <c r="K81" s="231"/>
      <c r="L81" s="231"/>
      <c r="M81" s="231"/>
      <c r="N81" s="231"/>
      <c r="O81" s="231"/>
      <c r="P81" s="231"/>
      <c r="Q81" s="231"/>
      <c r="R81" s="231"/>
      <c r="S81" s="231"/>
    </row>
    <row r="82" spans="2:19">
      <c r="B82" s="239" t="str">
        <f>'adv shuffle'!M11</f>
        <v/>
      </c>
      <c r="C82" s="239"/>
      <c r="D82" s="239"/>
      <c r="E82" s="41"/>
      <c r="F82" s="41"/>
      <c r="G82" s="41"/>
      <c r="H82" s="41"/>
      <c r="I82" s="41"/>
      <c r="J82" s="41"/>
      <c r="K82" s="41"/>
      <c r="L82" s="41"/>
      <c r="M82" s="41"/>
      <c r="N82" s="41"/>
      <c r="O82" s="41"/>
      <c r="P82" s="41"/>
      <c r="Q82" s="41"/>
      <c r="R82" s="41"/>
      <c r="S82" s="41"/>
    </row>
    <row r="83" spans="2:19">
      <c r="B83" s="231" t="str">
        <f>IF(B82&lt;&gt;"",VLOOKUP(B82,builder!$S$10:$Y$85,7),"")</f>
        <v/>
      </c>
      <c r="C83" s="231"/>
      <c r="D83" s="231"/>
      <c r="E83" s="231"/>
      <c r="F83" s="231"/>
      <c r="G83" s="231"/>
      <c r="H83" s="231"/>
      <c r="I83" s="231"/>
      <c r="J83" s="231"/>
      <c r="K83" s="231"/>
      <c r="L83" s="231"/>
      <c r="M83" s="231"/>
      <c r="N83" s="231"/>
      <c r="O83" s="231"/>
      <c r="P83" s="231"/>
      <c r="Q83" s="231"/>
      <c r="R83" s="231"/>
      <c r="S83" s="231"/>
    </row>
    <row r="84" spans="2:19" ht="55.5" customHeight="1">
      <c r="B84" s="231"/>
      <c r="C84" s="231"/>
      <c r="D84" s="231"/>
      <c r="E84" s="231"/>
      <c r="F84" s="231"/>
      <c r="G84" s="231"/>
      <c r="H84" s="231"/>
      <c r="I84" s="231"/>
      <c r="J84" s="231"/>
      <c r="K84" s="231"/>
      <c r="L84" s="231"/>
      <c r="M84" s="231"/>
      <c r="N84" s="231"/>
      <c r="O84" s="231"/>
      <c r="P84" s="231"/>
      <c r="Q84" s="231"/>
      <c r="R84" s="231"/>
      <c r="S84" s="231"/>
    </row>
    <row r="85" spans="2:19">
      <c r="B85" s="239" t="str">
        <f>'adv shuffle'!M12</f>
        <v/>
      </c>
      <c r="C85" s="239"/>
      <c r="D85" s="239"/>
      <c r="E85" s="41"/>
      <c r="F85" s="41"/>
      <c r="G85" s="41"/>
      <c r="H85" s="41"/>
      <c r="I85" s="41"/>
      <c r="J85" s="41"/>
      <c r="K85" s="41"/>
      <c r="L85" s="41"/>
      <c r="M85" s="41"/>
      <c r="N85" s="41"/>
      <c r="O85" s="41"/>
      <c r="P85" s="41"/>
      <c r="Q85" s="41"/>
      <c r="R85" s="41"/>
      <c r="S85" s="41"/>
    </row>
    <row r="86" spans="2:19">
      <c r="B86" s="231" t="str">
        <f>IF(B85&lt;&gt;"",VLOOKUP(B85,builder!$S$10:$Y$85,7),"")</f>
        <v/>
      </c>
      <c r="C86" s="231"/>
      <c r="D86" s="231"/>
      <c r="E86" s="231"/>
      <c r="F86" s="231"/>
      <c r="G86" s="231"/>
      <c r="H86" s="231"/>
      <c r="I86" s="231"/>
      <c r="J86" s="231"/>
      <c r="K86" s="231"/>
      <c r="L86" s="231"/>
      <c r="M86" s="231"/>
      <c r="N86" s="231"/>
      <c r="O86" s="231"/>
      <c r="P86" s="231"/>
      <c r="Q86" s="231"/>
      <c r="R86" s="231"/>
      <c r="S86" s="231"/>
    </row>
    <row r="87" spans="2:19" ht="55.5" customHeight="1">
      <c r="B87" s="231"/>
      <c r="C87" s="231"/>
      <c r="D87" s="231"/>
      <c r="E87" s="231"/>
      <c r="F87" s="231"/>
      <c r="G87" s="231"/>
      <c r="H87" s="231"/>
      <c r="I87" s="231"/>
      <c r="J87" s="231"/>
      <c r="K87" s="231"/>
      <c r="L87" s="231"/>
      <c r="M87" s="231"/>
      <c r="N87" s="231"/>
      <c r="O87" s="231"/>
      <c r="P87" s="231"/>
      <c r="Q87" s="231"/>
      <c r="R87" s="231"/>
      <c r="S87" s="231"/>
    </row>
    <row r="88" spans="2:19">
      <c r="B88" s="239" t="str">
        <f>'adv shuffle'!M13</f>
        <v/>
      </c>
      <c r="C88" s="239"/>
      <c r="D88" s="239"/>
      <c r="E88" s="41"/>
      <c r="F88" s="41"/>
      <c r="G88" s="41"/>
      <c r="H88" s="41"/>
      <c r="I88" s="41"/>
      <c r="J88" s="41"/>
      <c r="K88" s="41"/>
      <c r="L88" s="41"/>
      <c r="M88" s="41"/>
      <c r="N88" s="41"/>
      <c r="O88" s="41"/>
      <c r="P88" s="41"/>
      <c r="Q88" s="41"/>
      <c r="R88" s="41"/>
      <c r="S88" s="41"/>
    </row>
    <row r="89" spans="2:19">
      <c r="B89" s="231" t="str">
        <f>IF(B88&lt;&gt;"",VLOOKUP(B88,builder!$S$10:$Y$85,7),"")</f>
        <v/>
      </c>
      <c r="C89" s="231"/>
      <c r="D89" s="231"/>
      <c r="E89" s="231"/>
      <c r="F89" s="231"/>
      <c r="G89" s="231"/>
      <c r="H89" s="231"/>
      <c r="I89" s="231"/>
      <c r="J89" s="231"/>
      <c r="K89" s="231"/>
      <c r="L89" s="231"/>
      <c r="M89" s="231"/>
      <c r="N89" s="231"/>
      <c r="O89" s="231"/>
      <c r="P89" s="231"/>
      <c r="Q89" s="231"/>
      <c r="R89" s="231"/>
      <c r="S89" s="231"/>
    </row>
    <row r="90" spans="2:19" ht="55.5" customHeight="1">
      <c r="B90" s="231"/>
      <c r="C90" s="231"/>
      <c r="D90" s="231"/>
      <c r="E90" s="231"/>
      <c r="F90" s="231"/>
      <c r="G90" s="231"/>
      <c r="H90" s="231"/>
      <c r="I90" s="231"/>
      <c r="J90" s="231"/>
      <c r="K90" s="231"/>
      <c r="L90" s="231"/>
      <c r="M90" s="231"/>
      <c r="N90" s="231"/>
      <c r="O90" s="231"/>
      <c r="P90" s="231"/>
      <c r="Q90" s="231"/>
      <c r="R90" s="231"/>
      <c r="S90" s="231"/>
    </row>
    <row r="91" spans="2:19">
      <c r="B91" s="239" t="str">
        <f>'adv shuffle'!M14</f>
        <v/>
      </c>
      <c r="C91" s="239"/>
      <c r="D91" s="239"/>
      <c r="E91" s="41"/>
      <c r="F91" s="41"/>
      <c r="G91" s="41"/>
      <c r="H91" s="41"/>
      <c r="I91" s="41"/>
      <c r="J91" s="41"/>
      <c r="K91" s="41"/>
      <c r="L91" s="41"/>
      <c r="M91" s="41"/>
      <c r="N91" s="41"/>
      <c r="O91" s="41"/>
      <c r="P91" s="41"/>
      <c r="Q91" s="41"/>
      <c r="R91" s="41"/>
      <c r="S91" s="41"/>
    </row>
    <row r="92" spans="2:19">
      <c r="B92" s="231" t="str">
        <f>IF(B91&lt;&gt;"",VLOOKUP(B91,builder!$S$10:$Y$85,7),"")</f>
        <v/>
      </c>
      <c r="C92" s="231"/>
      <c r="D92" s="231"/>
      <c r="E92" s="231"/>
      <c r="F92" s="231"/>
      <c r="G92" s="231"/>
      <c r="H92" s="231"/>
      <c r="I92" s="231"/>
      <c r="J92" s="231"/>
      <c r="K92" s="231"/>
      <c r="L92" s="231"/>
      <c r="M92" s="231"/>
      <c r="N92" s="231"/>
      <c r="O92" s="231"/>
      <c r="P92" s="231"/>
      <c r="Q92" s="231"/>
      <c r="R92" s="231"/>
      <c r="S92" s="231"/>
    </row>
    <row r="93" spans="2:19" ht="55.5" customHeight="1">
      <c r="B93" s="231"/>
      <c r="C93" s="231"/>
      <c r="D93" s="231"/>
      <c r="E93" s="231"/>
      <c r="F93" s="231"/>
      <c r="G93" s="231"/>
      <c r="H93" s="231"/>
      <c r="I93" s="231"/>
      <c r="J93" s="231"/>
      <c r="K93" s="231"/>
      <c r="L93" s="231"/>
      <c r="M93" s="231"/>
      <c r="N93" s="231"/>
      <c r="O93" s="231"/>
      <c r="P93" s="231"/>
      <c r="Q93" s="231"/>
      <c r="R93" s="231"/>
      <c r="S93" s="231"/>
    </row>
    <row r="94" spans="2:19">
      <c r="B94" s="239" t="str">
        <f>'adv shuffle'!M15</f>
        <v/>
      </c>
      <c r="C94" s="239"/>
      <c r="D94" s="239"/>
      <c r="E94" s="41"/>
      <c r="F94" s="41"/>
      <c r="G94" s="41"/>
      <c r="H94" s="41"/>
      <c r="I94" s="41"/>
      <c r="J94" s="41"/>
      <c r="K94" s="41"/>
      <c r="L94" s="41"/>
      <c r="M94" s="41"/>
      <c r="N94" s="41"/>
      <c r="O94" s="41"/>
      <c r="P94" s="41"/>
      <c r="Q94" s="41"/>
      <c r="R94" s="41"/>
      <c r="S94" s="41"/>
    </row>
    <row r="95" spans="2:19">
      <c r="B95" s="231" t="str">
        <f>IF(B94&lt;&gt;"",VLOOKUP(B94,builder!$S$10:$Y$85,7),"")</f>
        <v/>
      </c>
      <c r="C95" s="231"/>
      <c r="D95" s="231"/>
      <c r="E95" s="231"/>
      <c r="F95" s="231"/>
      <c r="G95" s="231"/>
      <c r="H95" s="231"/>
      <c r="I95" s="231"/>
      <c r="J95" s="231"/>
      <c r="K95" s="231"/>
      <c r="L95" s="231"/>
      <c r="M95" s="231"/>
      <c r="N95" s="231"/>
      <c r="O95" s="231"/>
      <c r="P95" s="231"/>
      <c r="Q95" s="231"/>
      <c r="R95" s="231"/>
      <c r="S95" s="231"/>
    </row>
    <row r="96" spans="2:19" ht="55.5" customHeight="1">
      <c r="B96" s="231"/>
      <c r="C96" s="231"/>
      <c r="D96" s="231"/>
      <c r="E96" s="231"/>
      <c r="F96" s="231"/>
      <c r="G96" s="231"/>
      <c r="H96" s="231"/>
      <c r="I96" s="231"/>
      <c r="J96" s="231"/>
      <c r="K96" s="231"/>
      <c r="L96" s="231"/>
      <c r="M96" s="231"/>
      <c r="N96" s="231"/>
      <c r="O96" s="231"/>
      <c r="P96" s="231"/>
      <c r="Q96" s="231"/>
      <c r="R96" s="231"/>
      <c r="S96" s="231"/>
    </row>
    <row r="97" spans="1:20" s="24" customFormat="1" ht="3.75" customHeight="1">
      <c r="B97" s="42"/>
      <c r="C97" s="42"/>
      <c r="D97" s="42"/>
      <c r="E97" s="42"/>
      <c r="F97" s="42"/>
      <c r="G97" s="42"/>
      <c r="H97" s="42"/>
      <c r="I97" s="42"/>
      <c r="J97" s="42"/>
      <c r="K97" s="42"/>
      <c r="L97" s="42"/>
      <c r="M97" s="42"/>
      <c r="N97" s="42"/>
      <c r="O97" s="42"/>
      <c r="P97" s="42"/>
      <c r="Q97" s="42"/>
      <c r="R97" s="42"/>
      <c r="S97" s="42"/>
    </row>
    <row r="98" spans="1:20">
      <c r="B98" s="231" t="str">
        <f>IF(builder!T87=1,builder!V87,"")</f>
        <v/>
      </c>
      <c r="C98" s="231"/>
      <c r="D98" s="231"/>
      <c r="E98" s="231"/>
      <c r="F98" s="231"/>
      <c r="G98" s="231"/>
      <c r="H98" s="231"/>
      <c r="I98" s="231"/>
      <c r="J98" s="231"/>
      <c r="K98" s="231"/>
      <c r="L98" s="231"/>
      <c r="M98" s="231"/>
      <c r="N98" s="231"/>
      <c r="O98" s="231"/>
      <c r="P98" s="231"/>
      <c r="Q98" s="231"/>
      <c r="R98" s="231"/>
      <c r="S98" s="231"/>
    </row>
    <row r="99" spans="1:20" ht="54.75" customHeight="1">
      <c r="B99" s="231"/>
      <c r="C99" s="231"/>
      <c r="D99" s="231"/>
      <c r="E99" s="231"/>
      <c r="F99" s="231"/>
      <c r="G99" s="231"/>
      <c r="H99" s="231"/>
      <c r="I99" s="231"/>
      <c r="J99" s="231"/>
      <c r="K99" s="231"/>
      <c r="L99" s="231"/>
      <c r="M99" s="231"/>
      <c r="N99" s="231"/>
      <c r="O99" s="231"/>
      <c r="P99" s="231"/>
      <c r="Q99" s="231"/>
      <c r="R99" s="231"/>
      <c r="S99" s="231"/>
    </row>
    <row r="100" spans="1:20" ht="15.75" thickBot="1">
      <c r="Q100" s="243">
        <f ca="1">NOW()</f>
        <v>42559.353570486113</v>
      </c>
      <c r="R100" s="243"/>
      <c r="S100" s="243"/>
    </row>
    <row r="101" spans="1:20" ht="15.75" thickBot="1">
      <c r="B101" s="278">
        <f>$C$2</f>
        <v>0</v>
      </c>
      <c r="C101" s="279"/>
      <c r="D101" s="279"/>
      <c r="E101" s="279"/>
      <c r="F101" s="279"/>
      <c r="G101" s="279"/>
      <c r="H101" s="279"/>
      <c r="I101" s="279"/>
      <c r="J101" s="279"/>
      <c r="K101" s="279"/>
      <c r="L101" s="279"/>
      <c r="M101" s="279"/>
      <c r="N101" s="279"/>
      <c r="O101" s="279"/>
      <c r="P101" s="279"/>
      <c r="Q101" s="279"/>
      <c r="R101" s="279"/>
      <c r="S101" s="280"/>
    </row>
    <row r="102" spans="1:20" s="24" customFormat="1" ht="4.5" customHeight="1">
      <c r="A102" s="25"/>
      <c r="B102" s="64"/>
      <c r="C102" s="64"/>
      <c r="D102" s="64"/>
      <c r="E102" s="64"/>
      <c r="F102" s="64"/>
      <c r="G102" s="64"/>
      <c r="H102" s="64"/>
      <c r="I102" s="64"/>
      <c r="J102" s="64"/>
      <c r="K102" s="64"/>
      <c r="L102" s="64"/>
      <c r="M102" s="64"/>
      <c r="N102" s="64"/>
      <c r="O102" s="64"/>
      <c r="P102" s="64"/>
      <c r="Q102" s="64"/>
      <c r="R102" s="64"/>
      <c r="S102" s="64"/>
      <c r="T102" s="25"/>
    </row>
    <row r="103" spans="1:20">
      <c r="B103" s="250" t="s">
        <v>617</v>
      </c>
      <c r="C103" s="251"/>
      <c r="D103" s="251"/>
      <c r="E103" s="251"/>
      <c r="F103" s="251"/>
      <c r="G103" s="251"/>
      <c r="H103" s="251"/>
      <c r="I103" s="251"/>
      <c r="J103" s="251"/>
      <c r="K103" s="251"/>
      <c r="L103" s="251"/>
      <c r="M103" s="251"/>
      <c r="N103" s="251"/>
      <c r="O103" s="251"/>
      <c r="P103" s="251"/>
      <c r="Q103" s="251"/>
      <c r="R103" s="251"/>
      <c r="S103" s="252"/>
    </row>
    <row r="104" spans="1:20">
      <c r="B104" s="25" t="str">
        <f>IF('adv shuffle'!O31&lt;&gt;"",'adv shuffle'!O31,"")</f>
        <v/>
      </c>
      <c r="C104" s="25" t="str">
        <f>IF(B104&lt;&gt;"",VLOOKUP(B104,styles!$B$3:$D$14,2),"")</f>
        <v/>
      </c>
      <c r="D104" s="25"/>
      <c r="E104" s="25"/>
      <c r="F104" s="25"/>
      <c r="G104" s="25"/>
      <c r="H104" s="25"/>
      <c r="I104" s="25"/>
      <c r="J104" s="25"/>
      <c r="K104" s="25"/>
      <c r="L104" s="25"/>
      <c r="M104" s="25"/>
      <c r="N104" s="25"/>
      <c r="O104" s="25"/>
      <c r="P104" s="25"/>
      <c r="Q104" s="25"/>
      <c r="R104" s="25"/>
      <c r="S104" s="25"/>
    </row>
    <row r="105" spans="1:20" ht="60" customHeight="1">
      <c r="B105" s="269" t="str">
        <f>IF(B104&lt;&gt;"",VLOOKUP(B104,styles!$B$3:$D$14,3),"")</f>
        <v/>
      </c>
      <c r="C105" s="269"/>
      <c r="D105" s="269"/>
      <c r="E105" s="269"/>
      <c r="F105" s="269"/>
      <c r="G105" s="269"/>
      <c r="H105" s="269"/>
      <c r="I105" s="269"/>
      <c r="J105" s="269"/>
      <c r="K105" s="269"/>
      <c r="L105" s="269"/>
      <c r="M105" s="269"/>
      <c r="N105" s="269"/>
      <c r="O105" s="269"/>
      <c r="P105" s="269"/>
      <c r="Q105" s="269"/>
      <c r="R105" s="269"/>
      <c r="S105" s="269"/>
    </row>
    <row r="106" spans="1:20" ht="4.5" customHeight="1">
      <c r="B106" s="62"/>
      <c r="C106" s="62"/>
      <c r="D106" s="62"/>
      <c r="E106" s="62"/>
      <c r="F106" s="62"/>
      <c r="G106" s="62"/>
      <c r="H106" s="62"/>
      <c r="I106" s="62"/>
      <c r="J106" s="62"/>
      <c r="K106" s="62"/>
      <c r="L106" s="62"/>
      <c r="M106" s="62"/>
      <c r="N106" s="62"/>
      <c r="O106" s="62"/>
      <c r="P106" s="62"/>
      <c r="Q106" s="62"/>
      <c r="R106" s="62"/>
      <c r="S106" s="62"/>
    </row>
    <row r="107" spans="1:20">
      <c r="B107" s="25" t="str">
        <f>IF('adv shuffle'!O32&lt;&gt;"",'adv shuffle'!O32,"")</f>
        <v/>
      </c>
      <c r="C107" s="25" t="str">
        <f>IF(B107&lt;&gt;"",VLOOKUP(B107,styles!$B$3:$D$14,2),"")</f>
        <v/>
      </c>
      <c r="D107" s="62"/>
      <c r="E107" s="62"/>
      <c r="F107" s="62"/>
      <c r="G107" s="62"/>
      <c r="H107" s="62"/>
      <c r="I107" s="62"/>
      <c r="J107" s="62"/>
      <c r="K107" s="62"/>
      <c r="L107" s="62"/>
      <c r="M107" s="62"/>
      <c r="N107" s="62"/>
      <c r="O107" s="62"/>
      <c r="P107" s="62"/>
      <c r="Q107" s="62"/>
      <c r="R107" s="62"/>
      <c r="S107" s="62"/>
    </row>
    <row r="108" spans="1:20" ht="60" customHeight="1">
      <c r="B108" s="269" t="str">
        <f>IF(B107&lt;&gt;"",VLOOKUP(B107,styles!$B$3:$D$14,3),"")</f>
        <v/>
      </c>
      <c r="C108" s="269"/>
      <c r="D108" s="269"/>
      <c r="E108" s="269"/>
      <c r="F108" s="269"/>
      <c r="G108" s="269"/>
      <c r="H108" s="269"/>
      <c r="I108" s="269"/>
      <c r="J108" s="269"/>
      <c r="K108" s="269"/>
      <c r="L108" s="269"/>
      <c r="M108" s="269"/>
      <c r="N108" s="269"/>
      <c r="O108" s="269"/>
      <c r="P108" s="269"/>
      <c r="Q108" s="269"/>
      <c r="R108" s="269"/>
      <c r="S108" s="269"/>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IF('adv shuffle'!O33&lt;&gt;"",'adv shuffle'!O33,"")</f>
        <v/>
      </c>
      <c r="C110" s="25" t="str">
        <f>IF(B110&lt;&gt;"",VLOOKUP(B110,styles!$B$3:$D$14,2),"")</f>
        <v/>
      </c>
      <c r="D110" s="25"/>
      <c r="E110" s="25"/>
      <c r="F110" s="25"/>
      <c r="G110" s="25"/>
      <c r="H110" s="25"/>
      <c r="I110" s="25"/>
      <c r="J110" s="25"/>
      <c r="K110" s="25"/>
      <c r="L110" s="25"/>
      <c r="M110" s="25"/>
      <c r="N110" s="25"/>
      <c r="O110" s="25"/>
      <c r="P110" s="25"/>
      <c r="Q110" s="25"/>
      <c r="R110" s="25"/>
      <c r="S110" s="25"/>
    </row>
    <row r="111" spans="1:20" ht="60" customHeight="1">
      <c r="B111" s="269" t="str">
        <f>IF(B110&lt;&gt;"",VLOOKUP(B110,styles!$B$3:$D$14,3),"")</f>
        <v/>
      </c>
      <c r="C111" s="269"/>
      <c r="D111" s="269"/>
      <c r="E111" s="269"/>
      <c r="F111" s="269"/>
      <c r="G111" s="269"/>
      <c r="H111" s="269"/>
      <c r="I111" s="269"/>
      <c r="J111" s="269"/>
      <c r="K111" s="269"/>
      <c r="L111" s="269"/>
      <c r="M111" s="269"/>
      <c r="N111" s="269"/>
      <c r="O111" s="269"/>
      <c r="P111" s="269"/>
      <c r="Q111" s="269"/>
      <c r="R111" s="269"/>
      <c r="S111" s="269"/>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277" t="str">
        <f>IF(B113&lt;&gt;"",styles!D16,"")</f>
        <v/>
      </c>
      <c r="C114" s="277"/>
      <c r="D114" s="277"/>
      <c r="E114" s="277"/>
      <c r="F114" s="277"/>
      <c r="G114" s="277"/>
      <c r="H114" s="277"/>
      <c r="I114" s="277"/>
      <c r="J114" s="277"/>
      <c r="K114" s="277"/>
      <c r="L114" s="277"/>
      <c r="M114" s="277"/>
      <c r="N114" s="277"/>
      <c r="O114" s="277"/>
      <c r="P114" s="277"/>
      <c r="Q114" s="277"/>
      <c r="R114" s="277"/>
      <c r="S114" s="277"/>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277" t="str">
        <f>IF(B115&lt;&gt;"",styles!D17,"")</f>
        <v/>
      </c>
      <c r="C116" s="277"/>
      <c r="D116" s="277"/>
      <c r="E116" s="277"/>
      <c r="F116" s="277"/>
      <c r="G116" s="277"/>
      <c r="H116" s="277"/>
      <c r="I116" s="277"/>
      <c r="J116" s="277"/>
      <c r="K116" s="277"/>
      <c r="L116" s="277"/>
      <c r="M116" s="277"/>
      <c r="N116" s="277"/>
      <c r="O116" s="277"/>
      <c r="P116" s="277"/>
      <c r="Q116" s="277"/>
      <c r="R116" s="277"/>
      <c r="S116" s="277"/>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277" t="str">
        <f>IF(B117&lt;&gt;"",styles!D18,"")</f>
        <v/>
      </c>
      <c r="C118" s="277"/>
      <c r="D118" s="277"/>
      <c r="E118" s="277"/>
      <c r="F118" s="277"/>
      <c r="G118" s="277"/>
      <c r="H118" s="277"/>
      <c r="I118" s="277"/>
      <c r="J118" s="277"/>
      <c r="K118" s="277"/>
      <c r="L118" s="277"/>
      <c r="M118" s="277"/>
      <c r="N118" s="277"/>
      <c r="O118" s="277"/>
      <c r="P118" s="277"/>
      <c r="Q118" s="277"/>
      <c r="R118" s="277"/>
      <c r="S118" s="277"/>
    </row>
    <row r="119" spans="2:19" s="24" customFormat="1" ht="15.75" thickBot="1">
      <c r="B119" s="62"/>
      <c r="C119" s="62"/>
      <c r="D119" s="62"/>
      <c r="E119" s="62"/>
      <c r="F119" s="62"/>
      <c r="G119" s="62"/>
      <c r="H119" s="62"/>
      <c r="I119" s="62"/>
      <c r="J119" s="62"/>
      <c r="K119" s="62"/>
      <c r="L119" s="62"/>
      <c r="M119" s="62"/>
      <c r="N119" s="62"/>
      <c r="O119" s="62"/>
      <c r="P119" s="62"/>
      <c r="Q119" s="243">
        <f ca="1">NOW()</f>
        <v>42559.353570486113</v>
      </c>
      <c r="R119" s="243"/>
      <c r="S119" s="243"/>
    </row>
    <row r="120" spans="2:19" s="24" customFormat="1" ht="15.75" thickBot="1">
      <c r="B120" s="278">
        <f>$C$2</f>
        <v>0</v>
      </c>
      <c r="C120" s="279"/>
      <c r="D120" s="279"/>
      <c r="E120" s="279"/>
      <c r="F120" s="279"/>
      <c r="G120" s="279"/>
      <c r="H120" s="279"/>
      <c r="I120" s="279"/>
      <c r="J120" s="279"/>
      <c r="K120" s="279"/>
      <c r="L120" s="279"/>
      <c r="M120" s="279"/>
      <c r="N120" s="279"/>
      <c r="O120" s="279"/>
      <c r="P120" s="279"/>
      <c r="Q120" s="279"/>
      <c r="R120" s="279"/>
      <c r="S120" s="280"/>
    </row>
    <row r="121" spans="2:19" s="24" customFormat="1" ht="4.5" customHeight="1">
      <c r="B121" s="64"/>
      <c r="C121" s="64"/>
      <c r="D121" s="64"/>
      <c r="E121" s="64"/>
      <c r="F121" s="64"/>
      <c r="G121" s="64"/>
      <c r="H121" s="64"/>
      <c r="I121" s="64"/>
      <c r="J121" s="64"/>
      <c r="K121" s="64"/>
      <c r="L121" s="64"/>
      <c r="M121" s="64"/>
      <c r="N121" s="64"/>
      <c r="O121" s="64"/>
      <c r="P121" s="64"/>
      <c r="Q121" s="64"/>
      <c r="R121" s="64"/>
      <c r="S121" s="64"/>
    </row>
    <row r="122" spans="2:19">
      <c r="B122" s="250" t="s">
        <v>194</v>
      </c>
      <c r="C122" s="251"/>
      <c r="D122" s="251"/>
      <c r="E122" s="251"/>
      <c r="F122" s="251"/>
      <c r="G122" s="251"/>
      <c r="H122" s="251"/>
      <c r="I122" s="251"/>
      <c r="J122" s="251"/>
      <c r="K122" s="251"/>
      <c r="L122" s="251"/>
      <c r="M122" s="251"/>
      <c r="N122" s="251"/>
      <c r="O122" s="251"/>
      <c r="P122" s="251"/>
      <c r="Q122" s="251"/>
      <c r="R122" s="251"/>
      <c r="S122" s="252"/>
    </row>
    <row r="123" spans="2:19" ht="18.75">
      <c r="B123" s="282" t="str">
        <f>builder!B111</f>
        <v>None</v>
      </c>
      <c r="C123" s="282"/>
      <c r="D123" t="str">
        <f>IF($B$123=builder!$Y$115,"Knight:",IF(builder!B111=builder!AC115,"Dievas:",""))</f>
        <v/>
      </c>
      <c r="E123" s="283" t="str">
        <f>IF($B$123=builder!$Y$115,builder!B114,IF(builder!B111=builder!AC115,builder!I111,""))</f>
        <v/>
      </c>
      <c r="F123" s="283"/>
      <c r="G123" s="283"/>
      <c r="H123" s="283"/>
      <c r="I123" s="283"/>
      <c r="J123" s="283"/>
      <c r="K123" s="283"/>
      <c r="L123" s="283"/>
      <c r="M123" s="283"/>
      <c r="N123" s="283"/>
      <c r="O123" s="283"/>
      <c r="R123" s="37" t="str">
        <f>IF($B$123=builder!$Y$115,"Major Trait:","")</f>
        <v/>
      </c>
      <c r="S123" s="24" t="str">
        <f>IF($B$123=builder!$Y$115,builder!F114,"")</f>
        <v/>
      </c>
    </row>
    <row r="124" spans="2:19" ht="15" customHeight="1">
      <c r="D124" s="232" t="str">
        <f>IF(builder!AC115=builder!B111,"Dievas type:","")</f>
        <v/>
      </c>
      <c r="E124" s="232"/>
      <c r="F124" s="291" t="str">
        <f>IF(builder!B111=builder!AC115,builder!B114,"")</f>
        <v/>
      </c>
      <c r="G124" s="291"/>
      <c r="H124" s="291"/>
      <c r="I124" s="291"/>
      <c r="J124" s="291"/>
      <c r="K124" s="291"/>
      <c r="L124" s="291"/>
      <c r="M124" s="291"/>
      <c r="N124" s="291"/>
      <c r="O124" s="291"/>
      <c r="R124" s="37" t="str">
        <f>IF($B$123=builder!$Y$115,"Minor Trait:","")</f>
        <v/>
      </c>
      <c r="S124" s="24" t="str">
        <f>IF($B$123=builder!$Y$115,builder!H114,"")</f>
        <v/>
      </c>
    </row>
    <row r="125" spans="2:19">
      <c r="B125" s="1" t="str">
        <f>IF(B123&lt;&gt;"",HLOOKUP(B123,builder!Y115:AD131,16),"")</f>
        <v>Restrictions</v>
      </c>
      <c r="D125" s="297" t="str">
        <f>HLOOKUP($B$123,builder!$Y$115:$AD$133,18)</f>
        <v>--</v>
      </c>
      <c r="E125" s="297"/>
      <c r="F125" s="297"/>
      <c r="G125" s="297"/>
      <c r="H125" s="297"/>
      <c r="I125" s="297"/>
      <c r="J125" s="297"/>
      <c r="K125" s="297"/>
      <c r="L125" s="297"/>
      <c r="M125" s="297"/>
      <c r="N125" s="297"/>
      <c r="O125" s="297"/>
      <c r="P125" s="297"/>
      <c r="Q125" s="297"/>
      <c r="R125" s="297"/>
      <c r="S125" s="297"/>
    </row>
    <row r="126" spans="2:19">
      <c r="B126" s="288" t="str">
        <f>IF('adv shuffle'!J31&lt;&gt;"",'adv shuffle'!J31,"")</f>
        <v/>
      </c>
      <c r="C126" s="290"/>
      <c r="D126" s="10"/>
      <c r="E126" s="10"/>
      <c r="F126" s="10"/>
      <c r="G126" s="10"/>
      <c r="H126" s="10"/>
      <c r="I126" s="10"/>
      <c r="J126" s="10"/>
      <c r="K126" s="10"/>
      <c r="L126" s="10"/>
      <c r="M126" s="10"/>
      <c r="N126" s="10"/>
      <c r="O126" s="10"/>
      <c r="P126" s="10"/>
      <c r="Q126" s="10"/>
      <c r="R126" s="10"/>
      <c r="S126" s="10"/>
    </row>
    <row r="127" spans="2:19" s="24" customFormat="1" ht="30" customHeight="1">
      <c r="B127" s="284" t="str">
        <f>IF(B126&lt;&gt;"",IF($B$123=builder!$Z$115,VLOOKUP(B126,styles!$B$22:$E$28,4),IF($B$123=builder!$Y$115,VLOOKUP(B126,styles!$F$45:$I$57,4),IF($B$123=builder!$AA$115,VLOOKUP(B126,styles!$B$86:$E$90,4),IF($B$123=builder!$AD$115,VLOOKUP(B126,styles!$D$68:$F$72,3),"")))),"")</f>
        <v/>
      </c>
      <c r="C127" s="285"/>
      <c r="D127" s="293"/>
      <c r="E127" s="293"/>
      <c r="F127" s="293"/>
      <c r="G127" s="293"/>
      <c r="H127" s="293"/>
      <c r="I127" s="293"/>
      <c r="J127" s="293"/>
      <c r="K127" s="293"/>
      <c r="L127" s="293"/>
      <c r="M127" s="293"/>
      <c r="N127" s="293"/>
      <c r="O127" s="293"/>
      <c r="P127" s="293"/>
      <c r="Q127" s="293"/>
      <c r="R127" s="293"/>
      <c r="S127" s="294"/>
    </row>
    <row r="128" spans="2:19">
      <c r="B128" s="288" t="str">
        <f>IF('adv shuffle'!J32&lt;&gt;"",'adv shuffle'!J32,"")</f>
        <v/>
      </c>
      <c r="C128" s="290"/>
      <c r="D128" s="65"/>
      <c r="E128" s="66"/>
      <c r="F128" s="66"/>
      <c r="G128" s="66"/>
      <c r="H128" s="66"/>
      <c r="I128" s="66"/>
      <c r="J128" s="66"/>
      <c r="K128" s="66"/>
      <c r="L128" s="66"/>
      <c r="M128" s="66"/>
      <c r="N128" s="66"/>
      <c r="O128" s="66"/>
      <c r="P128" s="66"/>
      <c r="Q128" s="66"/>
      <c r="R128" s="66"/>
      <c r="S128" s="66"/>
    </row>
    <row r="129" spans="2:19" s="24" customFormat="1" ht="30" customHeight="1">
      <c r="B129" s="292" t="str">
        <f>IF(B128&lt;&gt;"",IF($B$123=builder!$Z$115,VLOOKUP(B128,styles!$B$22:$E$28,4),IF($B$123=builder!$Y$115,VLOOKUP(B128,styles!$F$45:$I$57,4),IF($B$123=builder!$AA$115,VLOOKUP(B128,styles!$B$86:$E$90,4),IF($B$123=builder!$AD$115,VLOOKUP(B128,styles!$D$68:$F$72,3),"")))),"")</f>
        <v/>
      </c>
      <c r="C129" s="293"/>
      <c r="D129" s="293"/>
      <c r="E129" s="293"/>
      <c r="F129" s="293"/>
      <c r="G129" s="293"/>
      <c r="H129" s="293"/>
      <c r="I129" s="293"/>
      <c r="J129" s="293"/>
      <c r="K129" s="293"/>
      <c r="L129" s="293"/>
      <c r="M129" s="293"/>
      <c r="N129" s="293"/>
      <c r="O129" s="293"/>
      <c r="P129" s="293"/>
      <c r="Q129" s="293"/>
      <c r="R129" s="293"/>
      <c r="S129" s="294"/>
    </row>
    <row r="130" spans="2:19">
      <c r="B130" s="288" t="str">
        <f>IF('adv shuffle'!J33&lt;&gt;"",'adv shuffle'!J33,"")</f>
        <v/>
      </c>
      <c r="C130" s="289"/>
      <c r="D130" s="65"/>
      <c r="E130" s="66"/>
      <c r="F130" s="66"/>
      <c r="G130" s="66"/>
      <c r="H130" s="66"/>
      <c r="I130" s="66"/>
      <c r="J130" s="66"/>
      <c r="K130" s="66"/>
      <c r="L130" s="66"/>
      <c r="M130" s="66"/>
      <c r="N130" s="66"/>
      <c r="O130" s="66"/>
      <c r="P130" s="66"/>
      <c r="Q130" s="66"/>
      <c r="R130" s="66"/>
      <c r="S130" s="66"/>
    </row>
    <row r="131" spans="2:19" s="24" customFormat="1" ht="30" customHeight="1">
      <c r="B131" s="292" t="str">
        <f>IF(B130&lt;&gt;"",IF($B$123=builder!$Z$115,VLOOKUP(B130,styles!$B$22:$E$28,4),IF($B$123=builder!$Y$115,VLOOKUP(B130,styles!$F$45:$I$57,4),IF($B$123=builder!$AA$115,VLOOKUP(B130,styles!$B$86:$E$90,4),IF($B$123=builder!$AD$115,VLOOKUP(B130,styles!$D$68:$F$72,3),"")))),"")</f>
        <v/>
      </c>
      <c r="C131" s="293"/>
      <c r="D131" s="293"/>
      <c r="E131" s="293"/>
      <c r="F131" s="293"/>
      <c r="G131" s="293"/>
      <c r="H131" s="293"/>
      <c r="I131" s="293"/>
      <c r="J131" s="293"/>
      <c r="K131" s="293"/>
      <c r="L131" s="293"/>
      <c r="M131" s="293"/>
      <c r="N131" s="293"/>
      <c r="O131" s="293"/>
      <c r="P131" s="293"/>
      <c r="Q131" s="293"/>
      <c r="R131" s="293"/>
      <c r="S131" s="294"/>
    </row>
    <row r="132" spans="2:19">
      <c r="B132" s="288" t="str">
        <f>IF('adv shuffle'!J34&lt;&gt;"",'adv shuffle'!J34,"")</f>
        <v/>
      </c>
      <c r="C132" s="289"/>
      <c r="D132" s="65"/>
      <c r="E132" s="66"/>
      <c r="F132" s="66"/>
      <c r="G132" s="66"/>
      <c r="H132" s="66"/>
      <c r="I132" s="66"/>
      <c r="J132" s="66"/>
      <c r="K132" s="66"/>
      <c r="L132" s="66"/>
      <c r="M132" s="66"/>
      <c r="N132" s="66"/>
      <c r="O132" s="66"/>
      <c r="P132" s="66"/>
      <c r="Q132" s="66"/>
      <c r="R132" s="66"/>
      <c r="S132" s="66"/>
    </row>
    <row r="133" spans="2:19" s="24" customFormat="1" ht="30" customHeight="1">
      <c r="B133" s="292" t="str">
        <f>IF(B132&lt;&gt;"",IF($B$123=builder!$Z$115,VLOOKUP(B132,styles!$B$22:$E$28,4),IF($B$123=builder!$Y$115,VLOOKUP(B132,styles!$F$45:$I$57,4),IF($B$123=builder!$AA$115,VLOOKUP(B132,styles!$B$86:$E$90,4),IF($B$123=builder!$AD$115,VLOOKUP(B132,styles!$D$68:$F$72,3),"")))),"")</f>
        <v/>
      </c>
      <c r="C133" s="293"/>
      <c r="D133" s="293"/>
      <c r="E133" s="293"/>
      <c r="F133" s="293"/>
      <c r="G133" s="293"/>
      <c r="H133" s="293"/>
      <c r="I133" s="293"/>
      <c r="J133" s="293"/>
      <c r="K133" s="293"/>
      <c r="L133" s="293"/>
      <c r="M133" s="293"/>
      <c r="N133" s="293"/>
      <c r="O133" s="293"/>
      <c r="P133" s="293"/>
      <c r="Q133" s="293"/>
      <c r="R133" s="293"/>
      <c r="S133" s="294"/>
    </row>
    <row r="134" spans="2:19">
      <c r="B134" s="288" t="str">
        <f>IF('adv shuffle'!J35&lt;&gt;"",'adv shuffle'!J35,"")</f>
        <v/>
      </c>
      <c r="C134" s="289"/>
      <c r="D134" s="65"/>
      <c r="E134" s="66"/>
      <c r="F134" s="66"/>
      <c r="G134" s="66"/>
      <c r="H134" s="66"/>
      <c r="I134" s="66"/>
      <c r="J134" s="66"/>
      <c r="K134" s="66"/>
      <c r="L134" s="66"/>
      <c r="M134" s="66"/>
      <c r="N134" s="66"/>
      <c r="O134" s="66"/>
      <c r="P134" s="66"/>
      <c r="Q134" s="66"/>
      <c r="R134" s="66"/>
      <c r="S134" s="66"/>
    </row>
    <row r="135" spans="2:19" s="24" customFormat="1" ht="30" customHeight="1">
      <c r="B135" s="292" t="str">
        <f>IF(B134&lt;&gt;"",IF($B$123=builder!$Z$115,VLOOKUP(B134,styles!$B$22:$E$28,4),IF($B$123=builder!$Y$115,VLOOKUP(B134,styles!$F$45:$I$57,4),IF($B$123=builder!$AA$115,VLOOKUP(B134,styles!$B$86:$E$90,4),IF($B$123=builder!$AD$115,VLOOKUP(B134,styles!$D$68:$F$72,3),"")))),"")</f>
        <v/>
      </c>
      <c r="C135" s="293"/>
      <c r="D135" s="293"/>
      <c r="E135" s="293"/>
      <c r="F135" s="293"/>
      <c r="G135" s="293"/>
      <c r="H135" s="293"/>
      <c r="I135" s="293"/>
      <c r="J135" s="293"/>
      <c r="K135" s="293"/>
      <c r="L135" s="293"/>
      <c r="M135" s="293"/>
      <c r="N135" s="293"/>
      <c r="O135" s="293"/>
      <c r="P135" s="293"/>
      <c r="Q135" s="293"/>
      <c r="R135" s="293"/>
      <c r="S135" s="294"/>
    </row>
    <row r="136" spans="2:19">
      <c r="B136" s="288" t="str">
        <f>IF('adv shuffle'!J36&lt;&gt;"",'adv shuffle'!J36,"")</f>
        <v/>
      </c>
      <c r="C136" s="289"/>
      <c r="D136" s="65"/>
      <c r="E136" s="66"/>
      <c r="F136" s="66"/>
      <c r="G136" s="66"/>
      <c r="H136" s="66"/>
      <c r="I136" s="66"/>
      <c r="J136" s="66"/>
      <c r="K136" s="66"/>
      <c r="L136" s="66"/>
      <c r="M136" s="66"/>
      <c r="N136" s="66"/>
      <c r="O136" s="66"/>
      <c r="P136" s="66"/>
      <c r="Q136" s="66"/>
      <c r="R136" s="66"/>
      <c r="S136" s="66"/>
    </row>
    <row r="137" spans="2:19" s="24" customFormat="1" ht="30" customHeight="1">
      <c r="B137" s="292" t="str">
        <f>IF(B136&lt;&gt;"",IF($B$123=builder!$Z$115,VLOOKUP(B136,styles!$B$22:$E$28,4),IF($B$123=builder!$Y$115,VLOOKUP(B136,styles!$F$45:$I$57,4),IF($B$123=builder!$AA$115,VLOOKUP(B136,styles!$B$86:$E$90,4),IF($B$123=builder!$AD$115,VLOOKUP(B136,styles!$D$68:$F$72,3),"")))),"")</f>
        <v/>
      </c>
      <c r="C137" s="293"/>
      <c r="D137" s="293"/>
      <c r="E137" s="293"/>
      <c r="F137" s="293"/>
      <c r="G137" s="293"/>
      <c r="H137" s="293"/>
      <c r="I137" s="293"/>
      <c r="J137" s="293"/>
      <c r="K137" s="293"/>
      <c r="L137" s="293"/>
      <c r="M137" s="293"/>
      <c r="N137" s="293"/>
      <c r="O137" s="293"/>
      <c r="P137" s="293"/>
      <c r="Q137" s="293"/>
      <c r="R137" s="293"/>
      <c r="S137" s="294"/>
    </row>
    <row r="138" spans="2:19">
      <c r="B138" s="288" t="str">
        <f>IF(COUNTIF(builder!B117:D120,styles!D71),"Pull cont.",IF('adv shuffle'!J37&lt;&gt;"",'adv shuffle'!J37,""))</f>
        <v/>
      </c>
      <c r="C138" s="289"/>
      <c r="D138" s="65"/>
      <c r="E138" s="66"/>
      <c r="F138" s="66"/>
      <c r="G138" s="66"/>
      <c r="H138" s="66"/>
      <c r="I138" s="66"/>
      <c r="J138" s="66"/>
      <c r="K138" s="66"/>
      <c r="L138" s="66"/>
      <c r="M138" s="66"/>
      <c r="N138" s="66"/>
      <c r="O138" s="66"/>
      <c r="P138" s="66"/>
      <c r="Q138" s="66"/>
      <c r="R138" s="66"/>
      <c r="S138" s="66"/>
    </row>
    <row r="139" spans="2:19" s="24" customFormat="1" ht="30" customHeight="1">
      <c r="B139" s="292" t="str">
        <f>IF(B138&lt;&gt;"",IF($B$123=builder!$Z$115,VLOOKUP(B138,styles!$B$22:$E$28,4),IF($B$123=builder!$Y$115,VLOOKUP(B138,styles!$F$45:$I$57,4),IF($B$123=builder!$AA$115,VLOOKUP(B138,styles!$B$86:$E$90,4),IF($B$123=builder!$AD$115,styles!G71,"")))),"")</f>
        <v/>
      </c>
      <c r="C139" s="293"/>
      <c r="D139" s="293"/>
      <c r="E139" s="293"/>
      <c r="F139" s="293"/>
      <c r="G139" s="293"/>
      <c r="H139" s="293"/>
      <c r="I139" s="293"/>
      <c r="J139" s="293"/>
      <c r="K139" s="293"/>
      <c r="L139" s="293"/>
      <c r="M139" s="293"/>
      <c r="N139" s="293"/>
      <c r="O139" s="293"/>
      <c r="P139" s="293"/>
      <c r="Q139" s="293"/>
      <c r="R139" s="293"/>
      <c r="S139" s="294"/>
    </row>
    <row r="141" spans="2:19">
      <c r="B141" s="1" t="str">
        <f>IF(B123&lt;&gt;"",HLOOKUP(B123,builder!Y115:AD131,17),"")</f>
        <v>Gifts</v>
      </c>
      <c r="D141" s="297" t="str">
        <f>IF(AND(B123&lt;&gt;"",B123&lt;&gt;"none"),HLOOKUP($B$123,builder!$Y$115:$AD$133,19),"--")</f>
        <v>--</v>
      </c>
      <c r="E141" s="297"/>
      <c r="F141" s="297"/>
      <c r="G141" s="297"/>
      <c r="H141" s="297"/>
      <c r="I141" s="297"/>
      <c r="J141" s="297"/>
      <c r="K141" s="297"/>
      <c r="L141" s="297"/>
      <c r="M141" s="297"/>
      <c r="N141" s="297"/>
      <c r="O141" s="297"/>
      <c r="P141" s="297"/>
      <c r="Q141" s="297"/>
      <c r="R141" s="297"/>
      <c r="S141" s="297"/>
    </row>
    <row r="142" spans="2:19">
      <c r="B142" s="288" t="str">
        <f>IF('adv shuffle'!J38&lt;&gt;"",'adv shuffle'!J38,"")</f>
        <v/>
      </c>
      <c r="C142" s="290"/>
      <c r="D142" s="10"/>
      <c r="E142" s="10"/>
      <c r="F142" s="10"/>
      <c r="G142" s="10"/>
      <c r="H142" s="10"/>
      <c r="I142" s="10"/>
      <c r="J142" s="10"/>
      <c r="K142" s="10"/>
      <c r="L142" s="10"/>
      <c r="M142" s="10"/>
      <c r="N142" s="10"/>
      <c r="O142" s="10"/>
      <c r="P142" s="10"/>
      <c r="Q142" s="10"/>
      <c r="R142" s="10"/>
      <c r="S142" s="10"/>
    </row>
    <row r="143" spans="2:19" s="24" customFormat="1" ht="30" customHeight="1">
      <c r="B143" s="284" t="str">
        <f>IF(B142&lt;&gt;"",IF($B$123=builder!$Z$115,VLOOKUP(B142,styles!$B$29:$E$41,4),IF($B$123=builder!$Y$115,VLOOKUP(B142,styles!$K$45:$N$57,4),IF($B$123=builder!$AA$115,VLOOKUP(B142,styles!$B$77:$D$84,3),IF($B$123=builder!$AD$115,VLOOKUP(B142,styles!$D$68:$F$72,2),"")))),"")</f>
        <v/>
      </c>
      <c r="C143" s="285"/>
      <c r="D143" s="286"/>
      <c r="E143" s="286"/>
      <c r="F143" s="286"/>
      <c r="G143" s="286"/>
      <c r="H143" s="286"/>
      <c r="I143" s="286"/>
      <c r="J143" s="286"/>
      <c r="K143" s="286"/>
      <c r="L143" s="286"/>
      <c r="M143" s="286"/>
      <c r="N143" s="286"/>
      <c r="O143" s="286"/>
      <c r="P143" s="286"/>
      <c r="Q143" s="286"/>
      <c r="R143" s="286"/>
      <c r="S143" s="287"/>
    </row>
    <row r="144" spans="2:19">
      <c r="B144" s="288" t="str">
        <f>IF('adv shuffle'!J39&lt;&gt;"",'adv shuffle'!J39,"")</f>
        <v/>
      </c>
      <c r="C144" s="290"/>
      <c r="D144" s="66"/>
      <c r="E144" s="66"/>
      <c r="F144" s="66"/>
      <c r="G144" s="66"/>
      <c r="H144" s="66"/>
      <c r="I144" s="66"/>
      <c r="J144" s="66"/>
      <c r="K144" s="66"/>
      <c r="L144" s="66"/>
      <c r="M144" s="66"/>
      <c r="N144" s="66"/>
      <c r="O144" s="66"/>
      <c r="P144" s="66"/>
      <c r="Q144" s="66"/>
      <c r="R144" s="66"/>
      <c r="S144" s="66"/>
    </row>
    <row r="145" spans="2:19" s="24" customFormat="1" ht="30" customHeight="1">
      <c r="B145" s="284" t="str">
        <f>IF(B144&lt;&gt;"",IF($B$123=builder!$Z$115,VLOOKUP(B144,styles!$B$29:$E$41,4),IF($B$123=builder!$Y$115,VLOOKUP(B144,styles!$K$45:$N$57,4),IF($B$123=builder!$AA$115,VLOOKUP(B144,styles!$B$77:$D$84,3),IF($B$123=builder!$AD$115,VLOOKUP(B144,styles!$D$68:$F$72,2),"")))),"")</f>
        <v/>
      </c>
      <c r="C145" s="285"/>
      <c r="D145" s="286"/>
      <c r="E145" s="286"/>
      <c r="F145" s="286"/>
      <c r="G145" s="286"/>
      <c r="H145" s="286"/>
      <c r="I145" s="286"/>
      <c r="J145" s="286"/>
      <c r="K145" s="286"/>
      <c r="L145" s="286"/>
      <c r="M145" s="286"/>
      <c r="N145" s="286"/>
      <c r="O145" s="286"/>
      <c r="P145" s="286"/>
      <c r="Q145" s="286"/>
      <c r="R145" s="286"/>
      <c r="S145" s="287"/>
    </row>
    <row r="146" spans="2:19">
      <c r="B146" s="288" t="str">
        <f>IF('adv shuffle'!J40&lt;&gt;"",'adv shuffle'!J40,"")</f>
        <v/>
      </c>
      <c r="C146" s="290"/>
    </row>
    <row r="147" spans="2:19" s="24" customFormat="1" ht="30" customHeight="1">
      <c r="B147" s="284" t="str">
        <f>IF(B146&lt;&gt;"",IF($B$123=builder!$Z$115,VLOOKUP(B146,styles!$B$29:$E$41,4),IF($B$123=builder!$Y$115,VLOOKUP(B146,styles!$K$45:$N$57,4),IF($B$123=builder!$AA$115,VLOOKUP(B146,styles!$B$77:$D$84,3),IF($B$123=builder!$AD$115,VLOOKUP(B146,styles!$D$68:$F$72,2),"")))),"")</f>
        <v/>
      </c>
      <c r="C147" s="285"/>
      <c r="D147" s="286"/>
      <c r="E147" s="286"/>
      <c r="F147" s="286"/>
      <c r="G147" s="286"/>
      <c r="H147" s="286"/>
      <c r="I147" s="286"/>
      <c r="J147" s="286"/>
      <c r="K147" s="286"/>
      <c r="L147" s="286"/>
      <c r="M147" s="286"/>
      <c r="N147" s="286"/>
      <c r="O147" s="286"/>
      <c r="P147" s="286"/>
      <c r="Q147" s="286"/>
      <c r="R147" s="286"/>
      <c r="S147" s="287"/>
    </row>
    <row r="148" spans="2:19">
      <c r="B148" s="288" t="str">
        <f>IF('adv shuffle'!J41&lt;&gt;"",'adv shuffle'!J41,"")</f>
        <v/>
      </c>
      <c r="C148" s="290"/>
    </row>
    <row r="149" spans="2:19" s="24" customFormat="1" ht="30" customHeight="1">
      <c r="B149" s="284" t="str">
        <f>IF(B148&lt;&gt;"",IF($B$123=builder!$Z$115,VLOOKUP(B148,styles!$B$29:$E$41,4),IF($B$123=builder!$Y$115,VLOOKUP(B148,styles!$K$45:$N$57,4),IF($B$123=builder!$AA$115,VLOOKUP(B148,styles!$B$77:$D$84,3),IF($B$123=builder!$AD$115,VLOOKUP(B148,styles!$D$68:$F$72,2),"")))),"")</f>
        <v/>
      </c>
      <c r="C149" s="285"/>
      <c r="D149" s="286"/>
      <c r="E149" s="286"/>
      <c r="F149" s="286"/>
      <c r="G149" s="286"/>
      <c r="H149" s="286"/>
      <c r="I149" s="286"/>
      <c r="J149" s="286"/>
      <c r="K149" s="286"/>
      <c r="L149" s="286"/>
      <c r="M149" s="286"/>
      <c r="N149" s="286"/>
      <c r="O149" s="286"/>
      <c r="P149" s="286"/>
      <c r="Q149" s="286"/>
      <c r="R149" s="286"/>
      <c r="S149" s="287"/>
    </row>
    <row r="150" spans="2:19">
      <c r="B150" s="288" t="str">
        <f>IF('adv shuffle'!J42&lt;&gt;"",'adv shuffle'!J42,"")</f>
        <v/>
      </c>
      <c r="C150" s="290"/>
    </row>
    <row r="151" spans="2:19" s="24" customFormat="1" ht="30" customHeight="1">
      <c r="B151" s="284" t="str">
        <f>IF(B150&lt;&gt;"",IF($B$123=builder!$Z$115,VLOOKUP(B150,styles!$B$29:$E$41,4),IF($B$123=builder!$Y$115,VLOOKUP(B150,styles!$K$45:$N$57,4),IF($B$123=builder!$AA$115,VLOOKUP(B150,styles!$B$77:$D$84,3),IF($B$123=builder!$AD$115,VLOOKUP(B150,styles!$D$68:$F$72,2),"")))),"")</f>
        <v/>
      </c>
      <c r="C151" s="285"/>
      <c r="D151" s="286"/>
      <c r="E151" s="286"/>
      <c r="F151" s="286"/>
      <c r="G151" s="286"/>
      <c r="H151" s="286"/>
      <c r="I151" s="286"/>
      <c r="J151" s="286"/>
      <c r="K151" s="286"/>
      <c r="L151" s="286"/>
      <c r="M151" s="286"/>
      <c r="N151" s="286"/>
      <c r="O151" s="286"/>
      <c r="P151" s="286"/>
      <c r="Q151" s="286"/>
      <c r="R151" s="286"/>
      <c r="S151" s="287"/>
    </row>
    <row r="152" spans="2:19">
      <c r="B152" s="288" t="str">
        <f>IF('adv shuffle'!J43&lt;&gt;"",'adv shuffle'!J43,"")</f>
        <v/>
      </c>
      <c r="C152" s="290"/>
    </row>
    <row r="153" spans="2:19" s="24" customFormat="1" ht="30" customHeight="1">
      <c r="B153" s="284" t="str">
        <f>IF(B152&lt;&gt;"",IF($B$123=builder!$Z$115,VLOOKUP(B152,styles!$B$29:$E$41,4),IF($B$123=builder!$Y$115,VLOOKUP(B152,styles!$K$45:$N$57,4),IF($B$123=builder!$AA$115,VLOOKUP(B152,styles!$B$77:$D$84,3),IF($B$123=builder!$AD$115,VLOOKUP(B152,styles!$D$68:$F$72,2),"")))),"")</f>
        <v/>
      </c>
      <c r="C153" s="285"/>
      <c r="D153" s="286"/>
      <c r="E153" s="286"/>
      <c r="F153" s="286"/>
      <c r="G153" s="286"/>
      <c r="H153" s="286"/>
      <c r="I153" s="286"/>
      <c r="J153" s="286"/>
      <c r="K153" s="286"/>
      <c r="L153" s="286"/>
      <c r="M153" s="286"/>
      <c r="N153" s="286"/>
      <c r="O153" s="286"/>
      <c r="P153" s="286"/>
      <c r="Q153" s="286"/>
      <c r="R153" s="286"/>
      <c r="S153" s="287"/>
    </row>
    <row r="154" spans="2:19">
      <c r="B154" s="288" t="str">
        <f>IF('adv shuffle'!J44&lt;&gt;"",'adv shuffle'!J44,"")</f>
        <v/>
      </c>
      <c r="C154" s="290"/>
    </row>
    <row r="155" spans="2:19" s="24" customFormat="1" ht="30" customHeight="1">
      <c r="B155" s="284" t="str">
        <f>IF(B154&lt;&gt;"",IF($B$123=builder!$Z$115,VLOOKUP(B154,styles!$B$29:$E$41,4),IF($B$123=builder!$Y$115,VLOOKUP(B154,styles!$K$45:$N$57,4),IF($B$123=builder!$AA$115,VLOOKUP(B154,styles!$B$77:$D$84,3),IF($B$123=builder!$AD$115,VLOOKUP(B154,styles!$D$68:$F$72,2),"")))),"")</f>
        <v/>
      </c>
      <c r="C155" s="285"/>
      <c r="D155" s="286"/>
      <c r="E155" s="286"/>
      <c r="F155" s="286"/>
      <c r="G155" s="286"/>
      <c r="H155" s="286"/>
      <c r="I155" s="286"/>
      <c r="J155" s="286"/>
      <c r="K155" s="286"/>
      <c r="L155" s="286"/>
      <c r="M155" s="286"/>
      <c r="N155" s="286"/>
      <c r="O155" s="286"/>
      <c r="P155" s="286"/>
      <c r="Q155" s="286"/>
      <c r="R155" s="286"/>
      <c r="S155" s="287"/>
    </row>
    <row r="156" spans="2:19">
      <c r="B156" s="288" t="str">
        <f>IF('adv shuffle'!J45&lt;&gt;"",'adv shuffle'!J45,"")</f>
        <v/>
      </c>
      <c r="C156" s="290"/>
    </row>
    <row r="157" spans="2:19" s="24" customFormat="1" ht="30" customHeight="1">
      <c r="B157" s="284" t="str">
        <f>IF(B156&lt;&gt;"",IF($B$123=builder!$Z$115,VLOOKUP(B156,styles!$B$29:$E$41,4),IF($B$123=builder!$Y$115,VLOOKUP(B156,styles!$K$45:$N$57,4),IF($B$123=builder!$AA$115,VLOOKUP(B156,styles!$B$77:$D$84,3),IF($B$123=builder!$AD$115,VLOOKUP(B156,styles!$D$68:$F$72,2),"")))),"")</f>
        <v/>
      </c>
      <c r="C157" s="285"/>
      <c r="D157" s="286"/>
      <c r="E157" s="286"/>
      <c r="F157" s="286"/>
      <c r="G157" s="286"/>
      <c r="H157" s="286"/>
      <c r="I157" s="286"/>
      <c r="J157" s="286"/>
      <c r="K157" s="286"/>
      <c r="L157" s="286"/>
      <c r="M157" s="286"/>
      <c r="N157" s="286"/>
      <c r="O157" s="286"/>
      <c r="P157" s="286"/>
      <c r="Q157" s="286"/>
      <c r="R157" s="286"/>
      <c r="S157" s="287"/>
    </row>
    <row r="158" spans="2:19">
      <c r="B158" s="288" t="str">
        <f>IF('adv shuffle'!J46&lt;&gt;"",'adv shuffle'!J46,"")</f>
        <v/>
      </c>
      <c r="C158" s="290"/>
    </row>
    <row r="159" spans="2:19" s="24" customFormat="1" ht="30" customHeight="1">
      <c r="B159" s="284" t="str">
        <f>IF(B158&lt;&gt;"",IF($B$123=builder!$Z$115,VLOOKUP(B158,styles!$B$29:$E$41,4),IF($B$123=builder!$Y$115,VLOOKUP(B158,styles!$K$45:$N$57,4),IF($B$123=builder!$AA$115,VLOOKUP(B158,styles!$B$77:$D$84,3),IF($B$123=builder!$AD$115,VLOOKUP(B158,styles!$D$68:$F$72,2),"")))),"")</f>
        <v/>
      </c>
      <c r="C159" s="285"/>
      <c r="D159" s="286"/>
      <c r="E159" s="286"/>
      <c r="F159" s="286"/>
      <c r="G159" s="286"/>
      <c r="H159" s="286"/>
      <c r="I159" s="286"/>
      <c r="J159" s="286"/>
      <c r="K159" s="286"/>
      <c r="L159" s="286"/>
      <c r="M159" s="286"/>
      <c r="N159" s="286"/>
      <c r="O159" s="286"/>
      <c r="P159" s="286"/>
      <c r="Q159" s="286"/>
      <c r="R159" s="286"/>
      <c r="S159" s="287"/>
    </row>
    <row r="160" spans="2:19">
      <c r="B160" s="288" t="str">
        <f>IF('adv shuffle'!J47&lt;&gt;"",'adv shuffle'!J47,"")</f>
        <v/>
      </c>
      <c r="C160" s="290"/>
    </row>
    <row r="161" spans="2:19" s="24" customFormat="1" ht="30" customHeight="1">
      <c r="B161" s="284" t="str">
        <f>IF(B160&lt;&gt;"",IF($B$123=builder!$Z$115,VLOOKUP(B160,styles!$B$29:$E$41,4),IF($B$123=builder!$Y$115,VLOOKUP(B160,styles!$K$45:$N$57,4),IF($B$123=builder!$AA$115,VLOOKUP(B160,styles!$B$77:$D$84,3),IF($B$123=builder!$AD$115,VLOOKUP(B160,styles!$D$68:$F$72,2),"")))),"")</f>
        <v/>
      </c>
      <c r="C161" s="285"/>
      <c r="D161" s="286"/>
      <c r="E161" s="286"/>
      <c r="F161" s="286"/>
      <c r="G161" s="286"/>
      <c r="H161" s="286"/>
      <c r="I161" s="286"/>
      <c r="J161" s="286"/>
      <c r="K161" s="286"/>
      <c r="L161" s="286"/>
      <c r="M161" s="286"/>
      <c r="N161" s="286"/>
      <c r="O161" s="286"/>
      <c r="P161" s="286"/>
      <c r="Q161" s="286"/>
      <c r="R161" s="286"/>
      <c r="S161" s="287"/>
    </row>
    <row r="162" spans="2:19">
      <c r="B162" s="288" t="str">
        <f>IF('adv shuffle'!J48&lt;&gt;"",'adv shuffle'!J48,"")</f>
        <v/>
      </c>
      <c r="C162" s="290"/>
    </row>
    <row r="163" spans="2:19" s="24" customFormat="1" ht="30" customHeight="1">
      <c r="B163" s="284" t="str">
        <f>IF(B162&lt;&gt;"",IF($B$123=builder!$Z$115,VLOOKUP(B162,styles!$B$29:$E$41,4),IF($B$123=builder!$Y$115,VLOOKUP(B162,styles!$K$45:$N$57,4),IF($B$123=builder!$AA$115,VLOOKUP(B162,styles!$B$77:$D$84,3),IF($B$123=builder!$AD$115,VLOOKUP(B162,styles!$D$68:$F$72,2),"")))),"")</f>
        <v/>
      </c>
      <c r="C163" s="285"/>
      <c r="D163" s="286"/>
      <c r="E163" s="286"/>
      <c r="F163" s="286"/>
      <c r="G163" s="286"/>
      <c r="H163" s="286"/>
      <c r="I163" s="286"/>
      <c r="J163" s="286"/>
      <c r="K163" s="286"/>
      <c r="L163" s="286"/>
      <c r="M163" s="286"/>
      <c r="N163" s="286"/>
      <c r="O163" s="286"/>
      <c r="P163" s="286"/>
      <c r="Q163" s="286"/>
      <c r="R163" s="286"/>
      <c r="S163" s="287"/>
    </row>
    <row r="164" spans="2:19">
      <c r="B164" s="288" t="str">
        <f>IF('adv shuffle'!J49&lt;&gt;"",'adv shuffle'!J49,"")</f>
        <v/>
      </c>
      <c r="C164" s="290"/>
    </row>
    <row r="165" spans="2:19" s="24" customFormat="1" ht="30" customHeight="1">
      <c r="B165" s="284" t="str">
        <f>IF(B164&lt;&gt;"",IF($B$123=builder!$Z$115,VLOOKUP(B164,styles!$B$29:$E$41,4),IF($B$123=builder!$Y$115,VLOOKUP(B164,styles!$K$45:$N$57,4),IF($B$123=builder!$AA$115,VLOOKUP(B164,styles!$B$77:$D$84,3),IF($B$123=builder!$AD$115,VLOOKUP(B164,styles!$D$68:$F$72,2),"")))),"")</f>
        <v/>
      </c>
      <c r="C165" s="285"/>
      <c r="D165" s="286"/>
      <c r="E165" s="286"/>
      <c r="F165" s="286"/>
      <c r="G165" s="286"/>
      <c r="H165" s="286"/>
      <c r="I165" s="286"/>
      <c r="J165" s="286"/>
      <c r="K165" s="286"/>
      <c r="L165" s="286"/>
      <c r="M165" s="286"/>
      <c r="N165" s="286"/>
      <c r="O165" s="286"/>
      <c r="P165" s="286"/>
      <c r="Q165" s="286"/>
      <c r="R165" s="286"/>
      <c r="S165" s="287"/>
    </row>
    <row r="166" spans="2:19">
      <c r="B166" s="288" t="str">
        <f>IF('adv shuffle'!J50&lt;&gt;"",'adv shuffle'!J50,"")</f>
        <v/>
      </c>
      <c r="C166" s="290"/>
    </row>
    <row r="167" spans="2:19" s="24" customFormat="1" ht="30" customHeight="1">
      <c r="B167" s="284" t="str">
        <f>IF(B166&lt;&gt;"",IF($B$123=builder!$Z$115,VLOOKUP(B166,styles!$B$29:$E$41,4),IF($B$123=builder!$Y$115,VLOOKUP(B166,styles!$K$45:$N$57,4),IF($B$123=builder!$AA$115,VLOOKUP(B166,styles!$B$77:$D$84,3),IF($B$123=builder!$AD$115,VLOOKUP(B166,styles!$D$68:$F$72,2),"")))),"")</f>
        <v/>
      </c>
      <c r="C167" s="285"/>
      <c r="D167" s="286"/>
      <c r="E167" s="286"/>
      <c r="F167" s="286"/>
      <c r="G167" s="286"/>
      <c r="H167" s="286"/>
      <c r="I167" s="286"/>
      <c r="J167" s="286"/>
      <c r="K167" s="286"/>
      <c r="L167" s="286"/>
      <c r="M167" s="286"/>
      <c r="N167" s="286"/>
      <c r="O167" s="286"/>
      <c r="P167" s="286"/>
      <c r="Q167" s="286"/>
      <c r="R167" s="286"/>
      <c r="S167" s="287"/>
    </row>
    <row r="168" spans="2:19">
      <c r="B168" s="288" t="str">
        <f>IF('adv shuffle'!J51&lt;&gt;"",'adv shuffle'!J51,"")</f>
        <v/>
      </c>
      <c r="C168" s="290"/>
    </row>
    <row r="169" spans="2:19" ht="30" customHeight="1">
      <c r="B169" s="292" t="str">
        <f>IF(B168&lt;&gt;"",IF($B$123=builder!$Z$115,VLOOKUP(B168,styles!$B$29:$E$41,4),IF($B$123=builder!$Y$115,VLOOKUP(B168,styles!$K$45:$N$57,4),IF($B$123=builder!$AA$115,VLOOKUP(B168,styles!$B$77:$D$84,3),IF($B$123=builder!$AD$115,VLOOKUP(B168,styles!$D$68:$F$72,2),"")))),"")</f>
        <v/>
      </c>
      <c r="C169" s="293"/>
      <c r="D169" s="286"/>
      <c r="E169" s="286"/>
      <c r="F169" s="286"/>
      <c r="G169" s="286"/>
      <c r="H169" s="286"/>
      <c r="I169" s="286"/>
      <c r="J169" s="286"/>
      <c r="K169" s="286"/>
      <c r="L169" s="286"/>
      <c r="M169" s="286"/>
      <c r="N169" s="286"/>
      <c r="O169" s="286"/>
      <c r="P169" s="286"/>
      <c r="Q169" s="286"/>
      <c r="R169" s="286"/>
      <c r="S169" s="287"/>
    </row>
    <row r="170" spans="2:19">
      <c r="Q170" s="243">
        <f ca="1">NOW()</f>
        <v>42559.353570486113</v>
      </c>
      <c r="R170" s="243"/>
      <c r="S170" s="243"/>
    </row>
    <row r="171" spans="2:19" ht="15" customHeight="1"/>
    <row r="172" spans="2:19">
      <c r="B172" s="63"/>
      <c r="C172" s="63"/>
      <c r="D172" s="63"/>
      <c r="E172" s="63"/>
      <c r="F172" s="63"/>
      <c r="G172" s="63"/>
      <c r="H172" s="63"/>
      <c r="I172" s="63"/>
      <c r="J172" s="63"/>
      <c r="K172" s="63"/>
      <c r="L172" s="63"/>
      <c r="M172" s="63"/>
      <c r="N172" s="63"/>
      <c r="O172" s="63"/>
      <c r="P172" s="63"/>
      <c r="Q172" s="63"/>
      <c r="R172" s="63"/>
      <c r="S172" s="63"/>
    </row>
  </sheetData>
  <mergeCells count="138">
    <mergeCell ref="D27:Q27"/>
    <mergeCell ref="R27:S27"/>
    <mergeCell ref="B27:C27"/>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57:S157"/>
    <mergeCell ref="B159:S159"/>
    <mergeCell ref="B161:S161"/>
    <mergeCell ref="B163:S163"/>
    <mergeCell ref="B145:S145"/>
    <mergeCell ref="B147:S147"/>
    <mergeCell ref="B149:S149"/>
    <mergeCell ref="B151:S151"/>
    <mergeCell ref="B153:S153"/>
    <mergeCell ref="B146:C146"/>
    <mergeCell ref="B156:C156"/>
    <mergeCell ref="B154:C154"/>
    <mergeCell ref="B152:C152"/>
    <mergeCell ref="B150:C150"/>
    <mergeCell ref="B148:C148"/>
    <mergeCell ref="B155:S155"/>
    <mergeCell ref="B118:S118"/>
    <mergeCell ref="B122:S122"/>
    <mergeCell ref="B123:C123"/>
    <mergeCell ref="E123:O123"/>
    <mergeCell ref="B143:S143"/>
    <mergeCell ref="B132:C132"/>
    <mergeCell ref="B130:C130"/>
    <mergeCell ref="B128:C128"/>
    <mergeCell ref="D124:E124"/>
    <mergeCell ref="F124:O124"/>
    <mergeCell ref="B135:S135"/>
    <mergeCell ref="B137:S137"/>
    <mergeCell ref="B139:S139"/>
    <mergeCell ref="B129:S129"/>
    <mergeCell ref="B131:S131"/>
    <mergeCell ref="B133:S133"/>
    <mergeCell ref="B108:S108"/>
    <mergeCell ref="B111:S111"/>
    <mergeCell ref="B114:S114"/>
    <mergeCell ref="B116:S116"/>
    <mergeCell ref="B101:S101"/>
    <mergeCell ref="B103:S103"/>
    <mergeCell ref="B105:S105"/>
    <mergeCell ref="Q49:S49"/>
    <mergeCell ref="Q100:S100"/>
    <mergeCell ref="B95:S96"/>
    <mergeCell ref="B63:S64"/>
    <mergeCell ref="B66:S67"/>
    <mergeCell ref="B53:D53"/>
    <mergeCell ref="B54:S55"/>
    <mergeCell ref="B65:D65"/>
    <mergeCell ref="B85:D85"/>
    <mergeCell ref="B88:D88"/>
    <mergeCell ref="B50:S50"/>
    <mergeCell ref="B57:S58"/>
    <mergeCell ref="B56:D56"/>
    <mergeCell ref="B59:D59"/>
    <mergeCell ref="B62:D62"/>
    <mergeCell ref="B83:S84"/>
    <mergeCell ref="B86:S87"/>
    <mergeCell ref="E23:F23"/>
    <mergeCell ref="E24:F24"/>
    <mergeCell ref="E25:F25"/>
    <mergeCell ref="E26:F26"/>
    <mergeCell ref="L19:O19"/>
    <mergeCell ref="L20:O20"/>
    <mergeCell ref="L21:O21"/>
    <mergeCell ref="L22:O22"/>
    <mergeCell ref="L23:O23"/>
    <mergeCell ref="L24:O24"/>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L26:O26"/>
    <mergeCell ref="E19:F19"/>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B69:S70"/>
    <mergeCell ref="B72:S73"/>
    <mergeCell ref="B77:S78"/>
    <mergeCell ref="B60:S61"/>
    <mergeCell ref="E20:F20"/>
    <mergeCell ref="E21:F21"/>
    <mergeCell ref="E22:F22"/>
  </mergeCells>
  <conditionalFormatting sqref="B98:S99">
    <cfRule type="notContainsBlanks" dxfId="210"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shuffle'!$B$2:$B$23,builder!$S$37)&gt;0,TRUE,FALSE)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zoomScale="130" zoomScaleNormal="130" workbookViewId="0">
      <selection activeCell="X53" sqref="X53"/>
    </sheetView>
  </sheetViews>
  <sheetFormatPr defaultRowHeight="15"/>
  <cols>
    <col min="1" max="1" width="1" style="157" customWidth="1"/>
    <col min="2" max="2" width="9.85546875" style="157" customWidth="1"/>
    <col min="3" max="3" width="27.42578125" style="157" customWidth="1"/>
    <col min="4" max="4" width="1.140625" style="157" customWidth="1"/>
    <col min="5" max="5" width="10.140625" style="157" customWidth="1"/>
    <col min="6" max="15" width="1.42578125" style="157" customWidth="1"/>
    <col min="16" max="16" width="4.85546875" style="157" customWidth="1"/>
    <col min="17" max="21" width="1.5703125" style="157" customWidth="1"/>
    <col min="22" max="22" width="2.28515625" style="157" customWidth="1"/>
    <col min="23" max="23" width="1.140625" style="157" customWidth="1"/>
    <col min="24" max="24" width="41.140625" style="157" customWidth="1"/>
    <col min="25" max="25" width="1" style="157" customWidth="1"/>
    <col min="26" max="26" width="3.85546875" style="17" customWidth="1"/>
    <col min="27" max="16384" width="9.140625" style="17"/>
  </cols>
  <sheetData>
    <row r="1" spans="1:25" ht="9.75" customHeight="1">
      <c r="A1" s="162"/>
      <c r="B1" s="162"/>
      <c r="C1" s="162"/>
      <c r="D1" s="162"/>
      <c r="E1" s="162"/>
      <c r="F1" s="162"/>
      <c r="G1" s="162"/>
      <c r="H1" s="162"/>
      <c r="I1" s="162"/>
      <c r="J1" s="162"/>
      <c r="K1" s="162"/>
      <c r="L1" s="162"/>
      <c r="M1" s="162"/>
      <c r="N1" s="162"/>
      <c r="O1" s="162"/>
      <c r="P1" s="162"/>
      <c r="Q1" s="162"/>
      <c r="R1" s="162"/>
      <c r="S1" s="162"/>
      <c r="T1" s="162"/>
      <c r="U1" s="162"/>
      <c r="V1" s="162"/>
      <c r="W1" s="162"/>
      <c r="X1" s="162"/>
      <c r="Y1" s="162"/>
    </row>
    <row r="2" spans="1:25" s="157" customFormat="1" ht="16.5" customHeight="1">
      <c r="A2" s="162"/>
      <c r="B2" s="306" t="s">
        <v>936</v>
      </c>
      <c r="C2" s="306"/>
      <c r="D2" s="162"/>
      <c r="E2" s="306" t="s">
        <v>937</v>
      </c>
      <c r="F2" s="306"/>
      <c r="G2" s="306"/>
      <c r="H2" s="306"/>
      <c r="I2" s="306"/>
      <c r="J2" s="306"/>
      <c r="K2" s="306"/>
      <c r="L2" s="306"/>
      <c r="M2" s="306"/>
      <c r="N2" s="306"/>
      <c r="O2" s="306"/>
      <c r="P2" s="306"/>
      <c r="Q2" s="306"/>
      <c r="R2" s="306"/>
      <c r="S2" s="306"/>
      <c r="T2" s="306"/>
      <c r="U2" s="306"/>
      <c r="V2" s="306"/>
      <c r="W2" s="162"/>
      <c r="X2" s="163" t="s">
        <v>938</v>
      </c>
      <c r="Y2" s="162"/>
    </row>
    <row r="3" spans="1:25" ht="3" customHeight="1">
      <c r="A3" s="162"/>
      <c r="D3" s="162"/>
      <c r="F3" s="19"/>
      <c r="G3" s="19"/>
      <c r="H3" s="19"/>
      <c r="I3" s="19"/>
      <c r="J3" s="19"/>
      <c r="K3" s="19"/>
      <c r="L3" s="19"/>
      <c r="M3" s="19"/>
      <c r="N3" s="19"/>
      <c r="O3" s="19"/>
      <c r="P3" s="19"/>
      <c r="Q3" s="19"/>
      <c r="R3" s="19"/>
      <c r="S3" s="19"/>
      <c r="T3" s="19"/>
      <c r="U3" s="19"/>
      <c r="V3" s="177"/>
      <c r="W3" s="162"/>
      <c r="X3" s="299">
        <f>builder!$B$22</f>
        <v>0</v>
      </c>
      <c r="Y3" s="162"/>
    </row>
    <row r="4" spans="1:25" ht="8.25" customHeight="1">
      <c r="A4" s="162"/>
      <c r="B4" s="307" t="s">
        <v>145</v>
      </c>
      <c r="C4" s="302">
        <f>builder!C2</f>
        <v>0</v>
      </c>
      <c r="D4" s="162"/>
      <c r="E4" s="305" t="s">
        <v>960</v>
      </c>
      <c r="F4" s="305"/>
      <c r="G4" s="305"/>
      <c r="H4" s="305"/>
      <c r="I4" s="305"/>
      <c r="J4" s="305"/>
      <c r="K4" s="20"/>
      <c r="L4" s="20"/>
      <c r="M4" s="164">
        <f>IF(builder!$P10&gt;2,1,0)</f>
        <v>0</v>
      </c>
      <c r="N4" s="164">
        <f>IF(builder!$P10&gt;3,1,0)</f>
        <v>0</v>
      </c>
      <c r="O4" s="164">
        <f>IF(builder!$P10&gt;4,1,0)</f>
        <v>0</v>
      </c>
      <c r="P4" s="19"/>
      <c r="Q4" s="19"/>
      <c r="R4" s="19"/>
      <c r="S4" s="19"/>
      <c r="T4" s="19"/>
      <c r="U4" s="19"/>
      <c r="V4" s="177"/>
      <c r="W4" s="162"/>
      <c r="X4" s="299"/>
      <c r="Y4" s="162"/>
    </row>
    <row r="5" spans="1:25" ht="3" customHeight="1">
      <c r="A5" s="162"/>
      <c r="B5" s="307"/>
      <c r="C5" s="302"/>
      <c r="D5" s="162"/>
      <c r="F5" s="161"/>
      <c r="G5" s="161"/>
      <c r="H5" s="161"/>
      <c r="I5" s="161"/>
      <c r="J5" s="161"/>
      <c r="K5" s="19"/>
      <c r="L5" s="19"/>
      <c r="M5" s="21"/>
      <c r="N5" s="21"/>
      <c r="O5" s="21"/>
      <c r="P5" s="19"/>
      <c r="Q5" s="19"/>
      <c r="R5" s="19"/>
      <c r="S5" s="19"/>
      <c r="T5" s="19"/>
      <c r="U5" s="19"/>
      <c r="V5" s="177"/>
      <c r="W5" s="162"/>
      <c r="X5" s="299"/>
      <c r="Y5" s="162"/>
    </row>
    <row r="6" spans="1:25" ht="3" customHeight="1">
      <c r="A6" s="162"/>
      <c r="B6" s="307"/>
      <c r="C6" s="302"/>
      <c r="D6" s="162"/>
      <c r="F6" s="19"/>
      <c r="G6" s="19"/>
      <c r="H6" s="19"/>
      <c r="I6" s="19"/>
      <c r="J6" s="19"/>
      <c r="K6" s="19"/>
      <c r="L6" s="19"/>
      <c r="M6" s="21"/>
      <c r="N6" s="21"/>
      <c r="O6" s="21"/>
      <c r="P6" s="19"/>
      <c r="Q6" s="19"/>
      <c r="R6" s="19"/>
      <c r="S6" s="19"/>
      <c r="T6" s="19"/>
      <c r="U6" s="19"/>
      <c r="V6" s="177"/>
      <c r="W6" s="162"/>
      <c r="X6" s="304" t="e">
        <f>CONCATENATE("Quirk: ",IF(builder!$N$24&lt;&gt;"",builder!$N$24,builder!$B$24))</f>
        <v>#N/A</v>
      </c>
      <c r="Y6" s="162"/>
    </row>
    <row r="7" spans="1:25" ht="8.25" customHeight="1">
      <c r="A7" s="162"/>
      <c r="B7" s="307" t="s">
        <v>147</v>
      </c>
      <c r="C7" s="302">
        <f>builder!C4</f>
        <v>0</v>
      </c>
      <c r="D7" s="162"/>
      <c r="E7" s="305" t="s">
        <v>961</v>
      </c>
      <c r="F7" s="305"/>
      <c r="G7" s="305"/>
      <c r="H7" s="305"/>
      <c r="I7" s="305"/>
      <c r="J7" s="305"/>
      <c r="K7" s="20"/>
      <c r="L7" s="20"/>
      <c r="M7" s="164">
        <f>IF(builder!$P11&gt;2,1,0)</f>
        <v>0</v>
      </c>
      <c r="N7" s="164">
        <f>IF(builder!$P11&gt;3,1,0)</f>
        <v>0</v>
      </c>
      <c r="O7" s="164">
        <f>IF(builder!$P11&gt;4,1,0)</f>
        <v>0</v>
      </c>
      <c r="P7" s="19"/>
      <c r="Q7" s="19"/>
      <c r="R7" s="19"/>
      <c r="S7" s="19"/>
      <c r="T7" s="19"/>
      <c r="U7" s="19"/>
      <c r="V7" s="177"/>
      <c r="W7" s="162"/>
      <c r="X7" s="304"/>
      <c r="Y7" s="162"/>
    </row>
    <row r="8" spans="1:25" ht="3.75" customHeight="1">
      <c r="A8" s="162"/>
      <c r="B8" s="307"/>
      <c r="C8" s="302"/>
      <c r="D8" s="162"/>
      <c r="F8" s="19"/>
      <c r="G8" s="19"/>
      <c r="H8" s="19"/>
      <c r="I8" s="19"/>
      <c r="J8" s="19"/>
      <c r="K8" s="19"/>
      <c r="L8" s="19"/>
      <c r="M8" s="21"/>
      <c r="N8" s="21"/>
      <c r="O8" s="21"/>
      <c r="P8" s="19"/>
      <c r="Q8" s="19"/>
      <c r="R8" s="19"/>
      <c r="S8" s="19"/>
      <c r="T8" s="19"/>
      <c r="U8" s="19"/>
      <c r="V8" s="177"/>
      <c r="W8" s="162"/>
      <c r="X8" s="304"/>
      <c r="Y8" s="162"/>
    </row>
    <row r="9" spans="1:25" ht="3.75" customHeight="1">
      <c r="A9" s="162"/>
      <c r="B9" s="307"/>
      <c r="C9" s="302"/>
      <c r="D9" s="162"/>
      <c r="F9" s="19"/>
      <c r="G9" s="19"/>
      <c r="H9" s="19"/>
      <c r="I9" s="19"/>
      <c r="J9" s="19"/>
      <c r="K9" s="19"/>
      <c r="L9" s="19"/>
      <c r="M9" s="21"/>
      <c r="N9" s="21"/>
      <c r="O9" s="21"/>
      <c r="P9" s="19"/>
      <c r="Q9" s="19"/>
      <c r="R9" s="19"/>
      <c r="S9" s="19"/>
      <c r="T9" s="19"/>
      <c r="U9" s="19"/>
      <c r="V9" s="177"/>
      <c r="W9" s="162"/>
      <c r="X9" s="304"/>
      <c r="Y9" s="162"/>
    </row>
    <row r="10" spans="1:25" ht="8.25" customHeight="1">
      <c r="A10" s="162"/>
      <c r="B10" s="307" t="s">
        <v>146</v>
      </c>
      <c r="C10" s="302">
        <f>builder!C6</f>
        <v>0</v>
      </c>
      <c r="D10" s="162"/>
      <c r="E10" s="305" t="s">
        <v>962</v>
      </c>
      <c r="F10" s="305"/>
      <c r="G10" s="305"/>
      <c r="H10" s="305"/>
      <c r="I10" s="305"/>
      <c r="J10" s="305"/>
      <c r="K10" s="20"/>
      <c r="L10" s="20"/>
      <c r="M10" s="164">
        <f>IF(builder!$P12&gt;2,1,0)</f>
        <v>0</v>
      </c>
      <c r="N10" s="164">
        <f>IF(builder!$P12&gt;3,1,0)</f>
        <v>0</v>
      </c>
      <c r="O10" s="164">
        <f>IF(builder!$P12&gt;4,1,0)</f>
        <v>0</v>
      </c>
      <c r="P10" s="19"/>
      <c r="Q10" s="19"/>
      <c r="R10" s="19"/>
      <c r="S10" s="19"/>
      <c r="T10" s="19"/>
      <c r="U10" s="19"/>
      <c r="V10" s="177"/>
      <c r="W10" s="162"/>
      <c r="X10" s="304"/>
      <c r="Y10" s="162"/>
    </row>
    <row r="11" spans="1:25" ht="2.25" customHeight="1">
      <c r="A11" s="162"/>
      <c r="B11" s="307"/>
      <c r="C11" s="302"/>
      <c r="D11" s="162"/>
      <c r="F11" s="19"/>
      <c r="G11" s="19"/>
      <c r="H11" s="19"/>
      <c r="I11" s="19"/>
      <c r="J11" s="19"/>
      <c r="K11" s="19"/>
      <c r="L11" s="19"/>
      <c r="M11" s="21"/>
      <c r="N11" s="21"/>
      <c r="O11" s="21"/>
      <c r="P11" s="19"/>
      <c r="Q11" s="19"/>
      <c r="R11" s="19"/>
      <c r="S11" s="19"/>
      <c r="T11" s="19"/>
      <c r="U11" s="19"/>
      <c r="V11" s="177"/>
      <c r="W11" s="162"/>
      <c r="X11" s="299">
        <f>builder!$F$22</f>
        <v>0</v>
      </c>
      <c r="Y11" s="162"/>
    </row>
    <row r="12" spans="1:25" ht="3.75" customHeight="1">
      <c r="A12" s="162"/>
      <c r="B12" s="307"/>
      <c r="C12" s="302"/>
      <c r="D12" s="162"/>
      <c r="F12" s="19"/>
      <c r="G12" s="19"/>
      <c r="H12" s="19"/>
      <c r="I12" s="19"/>
      <c r="J12" s="19"/>
      <c r="K12" s="19"/>
      <c r="L12" s="19"/>
      <c r="M12" s="21"/>
      <c r="N12" s="21"/>
      <c r="O12" s="21"/>
      <c r="P12" s="19"/>
      <c r="Q12" s="19"/>
      <c r="R12" s="19"/>
      <c r="S12" s="19"/>
      <c r="T12" s="19"/>
      <c r="U12" s="19"/>
      <c r="V12" s="177"/>
      <c r="W12" s="162"/>
      <c r="X12" s="299"/>
      <c r="Y12" s="162"/>
    </row>
    <row r="13" spans="1:25" ht="8.25" customHeight="1">
      <c r="A13" s="162"/>
      <c r="B13" s="307" t="s">
        <v>111</v>
      </c>
      <c r="C13" s="302">
        <f>builder!B17</f>
        <v>0</v>
      </c>
      <c r="D13" s="162"/>
      <c r="E13" s="305" t="s">
        <v>963</v>
      </c>
      <c r="F13" s="305"/>
      <c r="G13" s="305"/>
      <c r="H13" s="305"/>
      <c r="I13" s="305"/>
      <c r="J13" s="305"/>
      <c r="K13" s="20"/>
      <c r="L13" s="20"/>
      <c r="M13" s="164">
        <f>IF(builder!$P13&gt;2,1,0)</f>
        <v>0</v>
      </c>
      <c r="N13" s="164">
        <f>IF(builder!$P13&gt;3,1,0)</f>
        <v>0</v>
      </c>
      <c r="O13" s="164">
        <f>IF(builder!$P13&gt;4,1,0)</f>
        <v>0</v>
      </c>
      <c r="P13" s="19"/>
      <c r="Q13" s="19"/>
      <c r="R13" s="19"/>
      <c r="S13" s="19"/>
      <c r="T13" s="19"/>
      <c r="U13" s="19"/>
      <c r="V13" s="177"/>
      <c r="W13" s="162"/>
      <c r="X13" s="299"/>
      <c r="Y13" s="162"/>
    </row>
    <row r="14" spans="1:25" ht="5.25" customHeight="1">
      <c r="A14" s="162"/>
      <c r="B14" s="307"/>
      <c r="C14" s="302"/>
      <c r="D14" s="162"/>
      <c r="F14" s="19"/>
      <c r="G14" s="19"/>
      <c r="H14" s="19"/>
      <c r="I14" s="19"/>
      <c r="J14" s="19"/>
      <c r="K14" s="19"/>
      <c r="L14" s="19"/>
      <c r="M14" s="21"/>
      <c r="N14" s="21"/>
      <c r="O14" s="21"/>
      <c r="P14" s="19"/>
      <c r="Q14" s="19"/>
      <c r="R14" s="19"/>
      <c r="S14" s="19"/>
      <c r="T14" s="19"/>
      <c r="U14" s="19"/>
      <c r="V14" s="177"/>
      <c r="W14" s="162"/>
      <c r="X14" s="304" t="e">
        <f>CONCATENATE("Quirk: ",IF(builder!$N$28&lt;&gt;"",builder!$N$28,builder!$F$24))</f>
        <v>#N/A</v>
      </c>
      <c r="Y14" s="162"/>
    </row>
    <row r="15" spans="1:25" ht="8.25" customHeight="1">
      <c r="A15" s="162"/>
      <c r="B15" s="301" t="s">
        <v>148</v>
      </c>
      <c r="C15" s="302">
        <f>builder!F89</f>
        <v>0</v>
      </c>
      <c r="D15" s="162"/>
      <c r="E15" s="305" t="s">
        <v>964</v>
      </c>
      <c r="F15" s="305"/>
      <c r="G15" s="305"/>
      <c r="H15" s="305"/>
      <c r="I15" s="305"/>
      <c r="J15" s="305"/>
      <c r="K15" s="20"/>
      <c r="L15" s="20"/>
      <c r="M15" s="164">
        <f>IF(builder!$P14&gt;2,1,0)</f>
        <v>0</v>
      </c>
      <c r="N15" s="164">
        <f>IF(builder!$P14&gt;3,1,0)</f>
        <v>0</v>
      </c>
      <c r="O15" s="164">
        <f>IF(builder!$P14&gt;4,1,0)</f>
        <v>0</v>
      </c>
      <c r="P15" s="19"/>
      <c r="Q15" s="19"/>
      <c r="R15" s="19"/>
      <c r="S15" s="19"/>
      <c r="T15" s="19"/>
      <c r="U15" s="19"/>
      <c r="V15" s="177"/>
      <c r="W15" s="162"/>
      <c r="X15" s="304"/>
      <c r="Y15" s="162"/>
    </row>
    <row r="16" spans="1:25" ht="6" customHeight="1">
      <c r="A16" s="162"/>
      <c r="B16" s="301"/>
      <c r="C16" s="302"/>
      <c r="D16" s="162"/>
      <c r="F16" s="19"/>
      <c r="G16" s="19"/>
      <c r="H16" s="19"/>
      <c r="I16" s="19"/>
      <c r="J16" s="19"/>
      <c r="K16" s="19"/>
      <c r="L16" s="19"/>
      <c r="M16" s="19"/>
      <c r="N16" s="19"/>
      <c r="O16" s="19"/>
      <c r="P16" s="19"/>
      <c r="Q16" s="19"/>
      <c r="R16" s="19"/>
      <c r="S16" s="19"/>
      <c r="T16" s="19"/>
      <c r="U16" s="19"/>
      <c r="V16" s="177"/>
      <c r="W16" s="162"/>
      <c r="X16" s="304"/>
      <c r="Y16" s="162"/>
    </row>
    <row r="17" spans="1:25" ht="7.5" customHeight="1">
      <c r="A17" s="162"/>
      <c r="B17" s="303" t="s">
        <v>133</v>
      </c>
      <c r="C17" s="302">
        <f>builder!B89</f>
        <v>0</v>
      </c>
      <c r="D17" s="162"/>
      <c r="F17" s="19"/>
      <c r="G17" s="19"/>
      <c r="H17" s="19"/>
      <c r="I17" s="19"/>
      <c r="J17" s="19"/>
      <c r="K17" s="19"/>
      <c r="L17" s="19"/>
      <c r="M17" s="19"/>
      <c r="N17" s="19"/>
      <c r="O17" s="19"/>
      <c r="P17" s="19"/>
      <c r="Q17" s="19"/>
      <c r="R17" s="19"/>
      <c r="S17" s="19"/>
      <c r="T17" s="19"/>
      <c r="U17" s="19"/>
      <c r="V17" s="177"/>
      <c r="W17" s="162"/>
      <c r="X17" s="304"/>
      <c r="Y17" s="162"/>
    </row>
    <row r="18" spans="1:25" ht="5.25" customHeight="1">
      <c r="A18" s="162"/>
      <c r="B18" s="303"/>
      <c r="C18" s="302"/>
      <c r="D18" s="162"/>
      <c r="E18" s="162"/>
      <c r="F18" s="162"/>
      <c r="G18" s="162"/>
      <c r="H18" s="162"/>
      <c r="I18" s="162"/>
      <c r="J18" s="162"/>
      <c r="K18" s="162"/>
      <c r="L18" s="162"/>
      <c r="M18" s="162"/>
      <c r="N18" s="162"/>
      <c r="O18" s="162"/>
      <c r="P18" s="162"/>
      <c r="Q18" s="162"/>
      <c r="R18" s="162"/>
      <c r="S18" s="162"/>
      <c r="T18" s="162"/>
      <c r="U18" s="162"/>
      <c r="V18" s="162"/>
      <c r="W18" s="162"/>
      <c r="X18" s="162"/>
      <c r="Y18" s="162"/>
    </row>
    <row r="19" spans="1:25" ht="14.25" customHeight="1">
      <c r="A19" s="162"/>
      <c r="B19" s="303"/>
      <c r="C19" s="302"/>
      <c r="D19" s="162"/>
      <c r="E19" s="306" t="s">
        <v>940</v>
      </c>
      <c r="F19" s="306"/>
      <c r="G19" s="306"/>
      <c r="H19" s="306"/>
      <c r="I19" s="306"/>
      <c r="J19" s="306"/>
      <c r="K19" s="306"/>
      <c r="L19" s="306"/>
      <c r="M19" s="306"/>
      <c r="N19" s="306"/>
      <c r="O19" s="306"/>
      <c r="P19" s="306"/>
      <c r="Q19" s="306"/>
      <c r="R19" s="306"/>
      <c r="S19" s="306"/>
      <c r="T19" s="306"/>
      <c r="U19" s="306"/>
      <c r="V19" s="306"/>
      <c r="W19" s="162"/>
      <c r="X19" s="163" t="s">
        <v>941</v>
      </c>
      <c r="Y19" s="162"/>
    </row>
    <row r="20" spans="1:25" ht="4.5" customHeight="1">
      <c r="A20" s="162"/>
      <c r="B20" s="307" t="s">
        <v>377</v>
      </c>
      <c r="C20" s="310">
        <f>builder!G92</f>
        <v>0</v>
      </c>
      <c r="D20" s="162"/>
      <c r="F20" s="19"/>
      <c r="G20" s="19"/>
      <c r="H20" s="19"/>
      <c r="I20" s="19"/>
      <c r="J20" s="19"/>
      <c r="K20" s="19"/>
      <c r="L20" s="19"/>
      <c r="M20" s="19"/>
      <c r="N20" s="19"/>
      <c r="O20" s="19"/>
      <c r="P20" s="19"/>
      <c r="Q20" s="19"/>
      <c r="R20" s="19"/>
      <c r="S20" s="19"/>
      <c r="T20" s="19"/>
      <c r="U20" s="19"/>
      <c r="W20" s="162"/>
      <c r="Y20" s="162"/>
    </row>
    <row r="21" spans="1:25" ht="8.25" customHeight="1">
      <c r="A21" s="162"/>
      <c r="B21" s="307"/>
      <c r="C21" s="310"/>
      <c r="D21" s="162"/>
      <c r="E21" s="165" t="s">
        <v>952</v>
      </c>
      <c r="F21" s="164">
        <f>IF(builder!$O$42&gt;0,1,0)</f>
        <v>0</v>
      </c>
      <c r="G21" s="164">
        <f>IF(builder!$O$42&gt;1,1,0)</f>
        <v>0</v>
      </c>
      <c r="H21" s="164">
        <f>IF(builder!$O$42&gt;2,1,0)</f>
        <v>0</v>
      </c>
      <c r="I21" s="164">
        <f>IF(builder!$O$42&gt;3,1,0)</f>
        <v>0</v>
      </c>
      <c r="J21" s="164">
        <f>IF(builder!$O$42&gt;4,1,0)</f>
        <v>0</v>
      </c>
      <c r="K21" s="21"/>
      <c r="L21" s="300" t="s">
        <v>951</v>
      </c>
      <c r="M21" s="300"/>
      <c r="N21" s="300"/>
      <c r="O21" s="300"/>
      <c r="P21" s="300"/>
      <c r="Q21" s="164">
        <f>IF(builder!$O$50&gt;0,1,0)</f>
        <v>0</v>
      </c>
      <c r="R21" s="164">
        <f>IF(builder!$O$50&gt;1,1,0)</f>
        <v>0</v>
      </c>
      <c r="S21" s="164">
        <f>IF(builder!$O$50&gt;2,1,0)</f>
        <v>0</v>
      </c>
      <c r="T21" s="164">
        <f>IF(builder!$O$50&gt;3,1,0)</f>
        <v>0</v>
      </c>
      <c r="U21" s="164">
        <f>IF(builder!$O$50&gt;4,1,0)</f>
        <v>0</v>
      </c>
      <c r="W21" s="162"/>
      <c r="X21" s="299" t="str">
        <f>'adv shuffle'!$M$2</f>
        <v/>
      </c>
      <c r="Y21" s="162"/>
    </row>
    <row r="22" spans="1:25" ht="6" customHeight="1">
      <c r="A22" s="162"/>
      <c r="B22" s="162"/>
      <c r="C22" s="162"/>
      <c r="D22" s="162"/>
      <c r="E22" s="166"/>
      <c r="F22" s="21"/>
      <c r="G22" s="21"/>
      <c r="H22" s="21"/>
      <c r="I22" s="21"/>
      <c r="J22" s="21"/>
      <c r="K22" s="21"/>
      <c r="L22" s="167"/>
      <c r="M22" s="167"/>
      <c r="N22" s="167"/>
      <c r="O22" s="167"/>
      <c r="P22" s="167"/>
      <c r="Q22" s="21"/>
      <c r="R22" s="21"/>
      <c r="S22" s="21"/>
      <c r="T22" s="21"/>
      <c r="U22" s="21"/>
      <c r="W22" s="162"/>
      <c r="X22" s="299"/>
      <c r="Y22" s="162"/>
    </row>
    <row r="23" spans="1:25" ht="8.25" customHeight="1">
      <c r="A23" s="162"/>
      <c r="B23" s="306" t="s">
        <v>939</v>
      </c>
      <c r="C23" s="306"/>
      <c r="D23" s="162"/>
      <c r="E23" s="165" t="s">
        <v>953</v>
      </c>
      <c r="F23" s="164">
        <f>IF(builder!$O$43&gt;0,1,0)</f>
        <v>0</v>
      </c>
      <c r="G23" s="164">
        <f>IF(builder!$O$43&gt;1,1,0)</f>
        <v>0</v>
      </c>
      <c r="H23" s="164">
        <f>IF(builder!$O$43&gt;2,1,0)</f>
        <v>0</v>
      </c>
      <c r="I23" s="164">
        <f>IF(builder!$O$43&gt;3,1,0)</f>
        <v>0</v>
      </c>
      <c r="J23" s="164">
        <f>IF(builder!$O$43&gt;4,1,0)</f>
        <v>0</v>
      </c>
      <c r="K23" s="21"/>
      <c r="L23" s="300" t="s">
        <v>950</v>
      </c>
      <c r="M23" s="300"/>
      <c r="N23" s="300"/>
      <c r="O23" s="300"/>
      <c r="P23" s="300"/>
      <c r="Q23" s="164">
        <f>IF(builder!$O$51&gt;0,1,0)</f>
        <v>0</v>
      </c>
      <c r="R23" s="164">
        <f>IF(builder!$O$51&gt;1,1,0)</f>
        <v>0</v>
      </c>
      <c r="S23" s="164">
        <f>IF(builder!$O$51&gt;2,1,0)</f>
        <v>0</v>
      </c>
      <c r="T23" s="164">
        <f>IF(builder!$O$51&gt;3,1,0)</f>
        <v>0</v>
      </c>
      <c r="U23" s="164">
        <f>IF(builder!$O$51&gt;4,1,0)</f>
        <v>0</v>
      </c>
      <c r="W23" s="162"/>
      <c r="X23" s="299"/>
      <c r="Y23" s="162"/>
    </row>
    <row r="24" spans="1:25" ht="6" customHeight="1">
      <c r="A24" s="162"/>
      <c r="B24" s="306"/>
      <c r="C24" s="306"/>
      <c r="D24" s="162"/>
      <c r="E24" s="166"/>
      <c r="F24" s="21"/>
      <c r="G24" s="21"/>
      <c r="H24" s="21"/>
      <c r="I24" s="21"/>
      <c r="J24" s="21"/>
      <c r="K24" s="21"/>
      <c r="L24" s="167"/>
      <c r="M24" s="167"/>
      <c r="N24" s="167"/>
      <c r="O24" s="167"/>
      <c r="P24" s="167"/>
      <c r="Q24" s="21"/>
      <c r="R24" s="21"/>
      <c r="S24" s="21"/>
      <c r="T24" s="21"/>
      <c r="U24" s="21"/>
      <c r="W24" s="162"/>
      <c r="X24" s="299" t="str">
        <f>'adv shuffle'!$M$3</f>
        <v/>
      </c>
      <c r="Y24" s="162"/>
    </row>
    <row r="25" spans="1:25" ht="8.25" customHeight="1">
      <c r="A25" s="162"/>
      <c r="B25" s="299" t="s">
        <v>130</v>
      </c>
      <c r="C25" s="299" t="str">
        <f>CONCATENATE(IF(builder!$O$99&lt;&gt;"",builder!$O$99,builder!$C$99)," (",IF(builder!$O$99&lt;&gt;"",builder!$O$100,builder!$E$99),")")</f>
        <v xml:space="preserve"> ()</v>
      </c>
      <c r="D25" s="162"/>
      <c r="E25" s="165" t="s">
        <v>954</v>
      </c>
      <c r="F25" s="164">
        <f>IF(builder!$O$44&gt;0,1,0)</f>
        <v>0</v>
      </c>
      <c r="G25" s="164">
        <f>IF(builder!$O$44&gt;1,1,0)</f>
        <v>0</v>
      </c>
      <c r="H25" s="164">
        <f>IF(builder!$O$44&gt;2,1,0)</f>
        <v>0</v>
      </c>
      <c r="I25" s="164">
        <f>IF(builder!$O$44&gt;3,1,0)</f>
        <v>0</v>
      </c>
      <c r="J25" s="164">
        <f>IF(builder!$O$44&gt;4,1,0)</f>
        <v>0</v>
      </c>
      <c r="K25" s="21"/>
      <c r="L25" s="300" t="s">
        <v>949</v>
      </c>
      <c r="M25" s="300"/>
      <c r="N25" s="300"/>
      <c r="O25" s="300"/>
      <c r="P25" s="300"/>
      <c r="Q25" s="164">
        <f>IF(builder!$O$52&gt;0,1,0)</f>
        <v>0</v>
      </c>
      <c r="R25" s="164">
        <f>IF(builder!$O$52&gt;1,1,0)</f>
        <v>0</v>
      </c>
      <c r="S25" s="164">
        <f>IF(builder!$O$52&gt;2,1,0)</f>
        <v>0</v>
      </c>
      <c r="T25" s="164">
        <f>IF(builder!$O$52&gt;3,1,0)</f>
        <v>0</v>
      </c>
      <c r="U25" s="164">
        <f>IF(builder!$O$52&gt;4,1,0)</f>
        <v>0</v>
      </c>
      <c r="W25" s="162"/>
      <c r="X25" s="299"/>
      <c r="Y25" s="162"/>
    </row>
    <row r="26" spans="1:25" ht="6.75" customHeight="1">
      <c r="A26" s="162"/>
      <c r="B26" s="299"/>
      <c r="C26" s="299"/>
      <c r="D26" s="162"/>
      <c r="E26" s="166"/>
      <c r="F26" s="21"/>
      <c r="G26" s="21"/>
      <c r="H26" s="21"/>
      <c r="I26" s="21"/>
      <c r="J26" s="21"/>
      <c r="K26" s="21"/>
      <c r="L26" s="167"/>
      <c r="M26" s="167"/>
      <c r="N26" s="167"/>
      <c r="O26" s="167"/>
      <c r="P26" s="167"/>
      <c r="Q26" s="21"/>
      <c r="R26" s="21"/>
      <c r="S26" s="21"/>
      <c r="T26" s="21"/>
      <c r="U26" s="21"/>
      <c r="W26" s="162"/>
      <c r="X26" s="299"/>
      <c r="Y26" s="162"/>
    </row>
    <row r="27" spans="1:25" ht="8.25" customHeight="1">
      <c r="A27" s="162"/>
      <c r="B27" s="308" t="e">
        <f>print!B12</f>
        <v>#N/A</v>
      </c>
      <c r="C27" s="308"/>
      <c r="D27" s="162"/>
      <c r="E27" s="165" t="s">
        <v>955</v>
      </c>
      <c r="F27" s="164">
        <f>IF(builder!$O$45&gt;0,1,0)</f>
        <v>0</v>
      </c>
      <c r="G27" s="164">
        <f>IF(builder!$O$45&gt;1,1,0)</f>
        <v>0</v>
      </c>
      <c r="H27" s="164">
        <f>IF(builder!$O$45&gt;2,1,0)</f>
        <v>0</v>
      </c>
      <c r="I27" s="164">
        <f>IF(builder!$O$45&gt;3,1,0)</f>
        <v>0</v>
      </c>
      <c r="J27" s="164">
        <f>IF(builder!$O$45&gt;4,1,0)</f>
        <v>0</v>
      </c>
      <c r="K27" s="17"/>
      <c r="L27" s="300" t="s">
        <v>948</v>
      </c>
      <c r="M27" s="300"/>
      <c r="N27" s="300"/>
      <c r="O27" s="300"/>
      <c r="P27" s="300"/>
      <c r="Q27" s="164">
        <f>IF(builder!$O$53&gt;0,1,0)</f>
        <v>0</v>
      </c>
      <c r="R27" s="164">
        <f>IF(builder!$O$53&gt;1,1,0)</f>
        <v>0</v>
      </c>
      <c r="S27" s="164">
        <f>IF(builder!$O$53&gt;2,1,0)</f>
        <v>0</v>
      </c>
      <c r="T27" s="164">
        <f>IF(builder!$O$53&gt;3,1,0)</f>
        <v>0</v>
      </c>
      <c r="U27" s="164">
        <f>IF(builder!$O$53&gt;4,1,0)</f>
        <v>0</v>
      </c>
      <c r="W27" s="162"/>
      <c r="X27" s="299" t="str">
        <f>'adv shuffle'!$M$4</f>
        <v/>
      </c>
      <c r="Y27" s="162"/>
    </row>
    <row r="28" spans="1:25" ht="6.75" customHeight="1">
      <c r="A28" s="162"/>
      <c r="B28" s="308"/>
      <c r="C28" s="308"/>
      <c r="D28" s="162"/>
      <c r="E28" s="166"/>
      <c r="F28" s="21"/>
      <c r="G28" s="21"/>
      <c r="H28" s="21"/>
      <c r="I28" s="21"/>
      <c r="J28" s="21"/>
      <c r="K28" s="21"/>
      <c r="L28" s="167"/>
      <c r="M28" s="167"/>
      <c r="N28" s="167"/>
      <c r="O28" s="167"/>
      <c r="P28" s="167"/>
      <c r="Q28" s="21"/>
      <c r="R28" s="21"/>
      <c r="S28" s="21"/>
      <c r="T28" s="21"/>
      <c r="U28" s="21"/>
      <c r="W28" s="162"/>
      <c r="X28" s="299"/>
      <c r="Y28" s="162"/>
    </row>
    <row r="29" spans="1:25" ht="8.25" customHeight="1">
      <c r="A29" s="162"/>
      <c r="B29" s="308"/>
      <c r="C29" s="308"/>
      <c r="D29" s="162"/>
      <c r="E29" s="165" t="s">
        <v>956</v>
      </c>
      <c r="F29" s="164">
        <f>IF(builder!$O$46&gt;0,1,0)</f>
        <v>0</v>
      </c>
      <c r="G29" s="164">
        <f>IF(builder!$O$46&gt;1,1,0)</f>
        <v>0</v>
      </c>
      <c r="H29" s="164">
        <f>IF(builder!$O$46&gt;2,1,0)</f>
        <v>0</v>
      </c>
      <c r="I29" s="164">
        <f>IF(builder!$O$46&gt;3,1,0)</f>
        <v>0</v>
      </c>
      <c r="J29" s="164">
        <f>IF(builder!$O$46&gt;4,1,0)</f>
        <v>0</v>
      </c>
      <c r="K29" s="21"/>
      <c r="L29" s="300" t="s">
        <v>947</v>
      </c>
      <c r="M29" s="300"/>
      <c r="N29" s="300"/>
      <c r="O29" s="300"/>
      <c r="P29" s="300"/>
      <c r="Q29" s="164">
        <f>IF(builder!$O$54&gt;0,1,0)</f>
        <v>0</v>
      </c>
      <c r="R29" s="164">
        <f>IF(builder!$O$54&gt;1,1,0)</f>
        <v>0</v>
      </c>
      <c r="S29" s="164">
        <f>IF(builder!$O$54&gt;2,1,0)</f>
        <v>0</v>
      </c>
      <c r="T29" s="164">
        <f>IF(builder!$O$54&gt;3,1,0)</f>
        <v>0</v>
      </c>
      <c r="U29" s="164">
        <f>IF(builder!$O$54&gt;4,1,0)</f>
        <v>0</v>
      </c>
      <c r="W29" s="162"/>
      <c r="X29" s="299"/>
      <c r="Y29" s="162"/>
    </row>
    <row r="30" spans="1:25" ht="6.75" customHeight="1">
      <c r="A30" s="162"/>
      <c r="B30" s="308"/>
      <c r="C30" s="308"/>
      <c r="D30" s="162"/>
      <c r="E30" s="166"/>
      <c r="F30" s="21"/>
      <c r="G30" s="21"/>
      <c r="H30" s="21"/>
      <c r="I30" s="21"/>
      <c r="J30" s="21"/>
      <c r="K30" s="21"/>
      <c r="L30" s="167"/>
      <c r="M30" s="167"/>
      <c r="N30" s="167"/>
      <c r="O30" s="167"/>
      <c r="P30" s="167"/>
      <c r="Q30" s="21"/>
      <c r="R30" s="21"/>
      <c r="S30" s="21"/>
      <c r="T30" s="21"/>
      <c r="U30" s="21"/>
      <c r="W30" s="162"/>
      <c r="X30" s="299" t="str">
        <f>'adv shuffle'!$M$5</f>
        <v/>
      </c>
      <c r="Y30" s="162"/>
    </row>
    <row r="31" spans="1:25" ht="8.25" customHeight="1">
      <c r="A31" s="162"/>
      <c r="B31" s="308"/>
      <c r="C31" s="308"/>
      <c r="D31" s="162"/>
      <c r="E31" s="165" t="s">
        <v>957</v>
      </c>
      <c r="F31" s="164">
        <f>IF(builder!$O$47&gt;0,1,0)</f>
        <v>0</v>
      </c>
      <c r="G31" s="164">
        <f>IF(builder!$O$47&gt;1,1,0)</f>
        <v>0</v>
      </c>
      <c r="H31" s="164">
        <f>IF(builder!$O$47&gt;2,1,0)</f>
        <v>0</v>
      </c>
      <c r="I31" s="164">
        <f>IF(builder!$O$47&gt;3,1,0)</f>
        <v>0</v>
      </c>
      <c r="J31" s="164">
        <f>IF(builder!$O$47&gt;4,1,0)</f>
        <v>0</v>
      </c>
      <c r="K31" s="21"/>
      <c r="L31" s="300" t="s">
        <v>946</v>
      </c>
      <c r="M31" s="300"/>
      <c r="N31" s="300"/>
      <c r="O31" s="300"/>
      <c r="P31" s="300"/>
      <c r="Q31" s="164">
        <f>IF(builder!$O$55&gt;0,1,0)</f>
        <v>0</v>
      </c>
      <c r="R31" s="164">
        <f>IF(builder!$O$55&gt;1,1,0)</f>
        <v>0</v>
      </c>
      <c r="S31" s="164">
        <f>IF(builder!$O$55&gt;2,1,0)</f>
        <v>0</v>
      </c>
      <c r="T31" s="164">
        <f>IF(builder!$O$55&gt;3,1,0)</f>
        <v>0</v>
      </c>
      <c r="U31" s="164">
        <f>IF(builder!$O$55&gt;4,1,0)</f>
        <v>0</v>
      </c>
      <c r="W31" s="162"/>
      <c r="X31" s="299"/>
      <c r="Y31" s="162"/>
    </row>
    <row r="32" spans="1:25" ht="6" customHeight="1">
      <c r="A32" s="162"/>
      <c r="B32" s="299" t="s">
        <v>131</v>
      </c>
      <c r="C32" s="299" t="str">
        <f>CONCATENATE(IF(builder!$O$102&lt;&gt;"",builder!$O$102,builder!$C$100)," (",IF(builder!$O$102&lt;&gt;"",builder!$O$76,builder!$E$100),")")</f>
        <v xml:space="preserve"> ()</v>
      </c>
      <c r="D32" s="162"/>
      <c r="E32" s="166"/>
      <c r="F32" s="21"/>
      <c r="G32" s="21"/>
      <c r="H32" s="21"/>
      <c r="I32" s="21"/>
      <c r="J32" s="21"/>
      <c r="K32" s="21"/>
      <c r="L32" s="167"/>
      <c r="M32" s="167"/>
      <c r="N32" s="167"/>
      <c r="O32" s="167"/>
      <c r="P32" s="167"/>
      <c r="Q32" s="21"/>
      <c r="R32" s="21"/>
      <c r="S32" s="21"/>
      <c r="T32" s="21"/>
      <c r="U32" s="21"/>
      <c r="W32" s="162"/>
      <c r="X32" s="299"/>
      <c r="Y32" s="162"/>
    </row>
    <row r="33" spans="1:25" ht="8.25" customHeight="1">
      <c r="A33" s="162"/>
      <c r="B33" s="299"/>
      <c r="C33" s="299"/>
      <c r="D33" s="162"/>
      <c r="E33" s="165" t="s">
        <v>958</v>
      </c>
      <c r="F33" s="164">
        <f>IF(builder!$O$48&gt;0,1,0)</f>
        <v>0</v>
      </c>
      <c r="G33" s="164">
        <f>IF(builder!$O$48&gt;1,1,0)</f>
        <v>0</v>
      </c>
      <c r="H33" s="164">
        <f>IF(builder!$O$48&gt;2,1,0)</f>
        <v>0</v>
      </c>
      <c r="I33" s="164">
        <f>IF(builder!$O$48&gt;3,1,0)</f>
        <v>0</v>
      </c>
      <c r="J33" s="164">
        <f>IF(builder!$O$48&gt;4,1,0)</f>
        <v>0</v>
      </c>
      <c r="K33" s="21"/>
      <c r="L33" s="300" t="s">
        <v>945</v>
      </c>
      <c r="M33" s="300"/>
      <c r="N33" s="300"/>
      <c r="O33" s="300"/>
      <c r="P33" s="300"/>
      <c r="Q33" s="164">
        <f>IF(builder!$O$56&gt;0,1,0)</f>
        <v>0</v>
      </c>
      <c r="R33" s="164">
        <f>IF(builder!$O$56&gt;1,1,0)</f>
        <v>0</v>
      </c>
      <c r="S33" s="164">
        <f>IF(builder!$O$56&gt;2,1,0)</f>
        <v>0</v>
      </c>
      <c r="T33" s="164">
        <f>IF(builder!$O$56&gt;3,1,0)</f>
        <v>0</v>
      </c>
      <c r="U33" s="164">
        <f>IF(builder!$O$56&gt;4,1,0)</f>
        <v>0</v>
      </c>
      <c r="W33" s="162"/>
      <c r="X33" s="299" t="str">
        <f>'adv shuffle'!$M$6</f>
        <v/>
      </c>
      <c r="Y33" s="162"/>
    </row>
    <row r="34" spans="1:25" ht="6.75" customHeight="1">
      <c r="A34" s="162"/>
      <c r="B34" s="299"/>
      <c r="C34" s="299"/>
      <c r="D34" s="162"/>
      <c r="E34" s="166"/>
      <c r="F34" s="21"/>
      <c r="G34" s="21"/>
      <c r="H34" s="21"/>
      <c r="I34" s="21"/>
      <c r="J34" s="21"/>
      <c r="K34" s="21"/>
      <c r="L34" s="167"/>
      <c r="M34" s="167"/>
      <c r="N34" s="167"/>
      <c r="O34" s="167"/>
      <c r="P34" s="167"/>
      <c r="Q34" s="21"/>
      <c r="R34" s="21"/>
      <c r="S34" s="21"/>
      <c r="T34" s="21"/>
      <c r="U34" s="21"/>
      <c r="W34" s="162"/>
      <c r="X34" s="299"/>
      <c r="Y34" s="162"/>
    </row>
    <row r="35" spans="1:25" ht="8.25" customHeight="1">
      <c r="A35" s="162"/>
      <c r="B35" s="308" t="e">
        <f>print!B15</f>
        <v>#N/A</v>
      </c>
      <c r="C35" s="308"/>
      <c r="D35" s="162"/>
      <c r="E35" s="165" t="s">
        <v>959</v>
      </c>
      <c r="F35" s="164">
        <f>IF(builder!$O$49&gt;0,1,0)</f>
        <v>0</v>
      </c>
      <c r="G35" s="164">
        <f>IF(builder!$O$49&gt;1,1,0)</f>
        <v>0</v>
      </c>
      <c r="H35" s="164">
        <f>IF(builder!$O$49&gt;2,1,0)</f>
        <v>0</v>
      </c>
      <c r="I35" s="164">
        <f>IF(builder!$O$49&gt;3,1,0)</f>
        <v>0</v>
      </c>
      <c r="J35" s="164">
        <f>IF(builder!$O$49&gt;4,1,0)</f>
        <v>0</v>
      </c>
      <c r="K35" s="21"/>
      <c r="L35" s="300" t="s">
        <v>944</v>
      </c>
      <c r="M35" s="300"/>
      <c r="N35" s="300"/>
      <c r="O35" s="300"/>
      <c r="P35" s="300"/>
      <c r="Q35" s="164">
        <f>IF(builder!$O$57&gt;0,1,0)</f>
        <v>0</v>
      </c>
      <c r="R35" s="164">
        <f>IF(builder!$O$57&gt;1,1,0)</f>
        <v>0</v>
      </c>
      <c r="S35" s="164">
        <f>IF(builder!$O$57&gt;2,1,0)</f>
        <v>0</v>
      </c>
      <c r="T35" s="164">
        <f>IF(builder!$O$57&gt;3,1,0)</f>
        <v>0</v>
      </c>
      <c r="U35" s="164">
        <f>IF(builder!$O$57&gt;4,1,0)</f>
        <v>0</v>
      </c>
      <c r="W35" s="162"/>
      <c r="X35" s="299"/>
      <c r="Y35" s="162"/>
    </row>
    <row r="36" spans="1:25" ht="4.5" customHeight="1">
      <c r="A36" s="162"/>
      <c r="B36" s="308"/>
      <c r="C36" s="308"/>
      <c r="D36" s="162"/>
      <c r="F36" s="21"/>
      <c r="G36" s="21"/>
      <c r="H36" s="21"/>
      <c r="I36" s="21"/>
      <c r="J36" s="21"/>
      <c r="K36" s="21"/>
      <c r="L36" s="21"/>
      <c r="M36" s="21"/>
      <c r="N36" s="21"/>
      <c r="O36" s="21"/>
      <c r="P36" s="21"/>
      <c r="Q36" s="21"/>
      <c r="R36" s="21"/>
      <c r="S36" s="21"/>
      <c r="T36" s="21"/>
      <c r="U36" s="21"/>
      <c r="W36" s="162"/>
      <c r="X36" s="299" t="str">
        <f>'adv shuffle'!$M$7</f>
        <v/>
      </c>
      <c r="Y36" s="162"/>
    </row>
    <row r="37" spans="1:25" ht="5.25" customHeight="1">
      <c r="A37" s="162"/>
      <c r="B37" s="308"/>
      <c r="C37" s="308"/>
      <c r="D37" s="162"/>
      <c r="W37" s="162"/>
      <c r="X37" s="299"/>
      <c r="Y37" s="162"/>
    </row>
    <row r="38" spans="1:25" s="18" customFormat="1" ht="14.25" customHeight="1">
      <c r="A38" s="162"/>
      <c r="B38" s="308"/>
      <c r="C38" s="308"/>
      <c r="D38" s="162"/>
      <c r="E38" s="298" t="s">
        <v>966</v>
      </c>
      <c r="F38" s="298"/>
      <c r="G38" s="298"/>
      <c r="H38" s="298"/>
      <c r="I38" s="298"/>
      <c r="J38" s="298"/>
      <c r="K38" s="298"/>
      <c r="L38" s="298"/>
      <c r="M38" s="298"/>
      <c r="N38" s="298"/>
      <c r="O38" s="298"/>
      <c r="P38" s="298"/>
      <c r="Q38" s="298"/>
      <c r="R38" s="298"/>
      <c r="S38" s="298"/>
      <c r="T38" s="298"/>
      <c r="U38" s="298"/>
      <c r="V38" s="298"/>
      <c r="W38" s="162"/>
      <c r="X38" s="299"/>
      <c r="Y38" s="162"/>
    </row>
    <row r="39" spans="1:25" s="157" customFormat="1" ht="6.75" customHeight="1">
      <c r="A39" s="162"/>
      <c r="B39" s="308"/>
      <c r="C39" s="308"/>
      <c r="D39" s="162"/>
      <c r="E39" s="298" t="s">
        <v>967</v>
      </c>
      <c r="F39" s="298"/>
      <c r="G39" s="298"/>
      <c r="H39" s="298"/>
      <c r="I39" s="298"/>
      <c r="J39" s="298"/>
      <c r="K39" s="298"/>
      <c r="L39" s="298"/>
      <c r="M39" s="298"/>
      <c r="N39" s="298"/>
      <c r="O39" s="298"/>
      <c r="P39" s="298"/>
      <c r="Q39" s="298"/>
      <c r="R39" s="298"/>
      <c r="S39" s="298"/>
      <c r="T39" s="298"/>
      <c r="U39" s="298"/>
      <c r="V39" s="298"/>
      <c r="W39" s="162"/>
      <c r="X39" s="299" t="str">
        <f>'adv shuffle'!$M$8</f>
        <v/>
      </c>
      <c r="Y39" s="162"/>
    </row>
    <row r="40" spans="1:25" ht="6.75" customHeight="1">
      <c r="A40" s="162"/>
      <c r="B40" s="162"/>
      <c r="C40" s="162"/>
      <c r="D40" s="162"/>
      <c r="E40" s="298"/>
      <c r="F40" s="298"/>
      <c r="G40" s="298"/>
      <c r="H40" s="298"/>
      <c r="I40" s="298"/>
      <c r="J40" s="298"/>
      <c r="K40" s="298"/>
      <c r="L40" s="298"/>
      <c r="M40" s="298"/>
      <c r="N40" s="298"/>
      <c r="O40" s="298"/>
      <c r="P40" s="298"/>
      <c r="Q40" s="298"/>
      <c r="R40" s="298"/>
      <c r="S40" s="298"/>
      <c r="T40" s="298"/>
      <c r="U40" s="298"/>
      <c r="V40" s="298"/>
      <c r="W40" s="162"/>
      <c r="X40" s="299"/>
      <c r="Y40" s="162"/>
    </row>
    <row r="41" spans="1:25">
      <c r="A41" s="162"/>
      <c r="B41" s="306" t="s">
        <v>942</v>
      </c>
      <c r="C41" s="306"/>
      <c r="D41" s="162"/>
      <c r="E41" s="298" t="s">
        <v>968</v>
      </c>
      <c r="F41" s="298"/>
      <c r="G41" s="298"/>
      <c r="H41" s="298"/>
      <c r="I41" s="298"/>
      <c r="J41" s="298"/>
      <c r="K41" s="298"/>
      <c r="L41" s="298"/>
      <c r="M41" s="298"/>
      <c r="N41" s="298"/>
      <c r="O41" s="298"/>
      <c r="P41" s="298"/>
      <c r="Q41" s="298"/>
      <c r="R41" s="298"/>
      <c r="S41" s="298"/>
      <c r="T41" s="298"/>
      <c r="U41" s="298"/>
      <c r="V41" s="298"/>
      <c r="W41" s="162"/>
      <c r="X41" s="299" t="str">
        <f>'adv shuffle'!$M$9</f>
        <v/>
      </c>
      <c r="Y41" s="162"/>
    </row>
    <row r="42" spans="1:25" s="157" customFormat="1" ht="4.5" customHeight="1">
      <c r="A42" s="162"/>
      <c r="B42" s="168"/>
      <c r="C42" s="168"/>
      <c r="D42" s="162"/>
      <c r="E42" s="162"/>
      <c r="F42" s="162"/>
      <c r="G42" s="162"/>
      <c r="H42" s="162"/>
      <c r="I42" s="162"/>
      <c r="J42" s="162"/>
      <c r="K42" s="162"/>
      <c r="L42" s="162"/>
      <c r="M42" s="162"/>
      <c r="N42" s="162"/>
      <c r="O42" s="162"/>
      <c r="P42" s="162"/>
      <c r="Q42" s="162"/>
      <c r="R42" s="162"/>
      <c r="S42" s="162"/>
      <c r="T42" s="162"/>
      <c r="U42" s="162"/>
      <c r="V42" s="162"/>
      <c r="W42" s="162"/>
      <c r="X42" s="299"/>
      <c r="Y42" s="162"/>
    </row>
    <row r="43" spans="1:25">
      <c r="A43" s="162"/>
      <c r="B43" s="157" t="s">
        <v>382</v>
      </c>
      <c r="C43" s="160">
        <f>builder!B78</f>
        <v>0</v>
      </c>
      <c r="D43" s="162"/>
      <c r="E43" s="306" t="s">
        <v>943</v>
      </c>
      <c r="F43" s="306"/>
      <c r="G43" s="306"/>
      <c r="H43" s="306"/>
      <c r="I43" s="306"/>
      <c r="J43" s="306"/>
      <c r="K43" s="306"/>
      <c r="L43" s="306"/>
      <c r="M43" s="306"/>
      <c r="N43" s="306"/>
      <c r="O43" s="306"/>
      <c r="P43" s="306"/>
      <c r="Q43" s="306"/>
      <c r="R43" s="306"/>
      <c r="S43" s="306"/>
      <c r="T43" s="306"/>
      <c r="U43" s="306"/>
      <c r="V43" s="306"/>
      <c r="W43" s="162"/>
      <c r="X43" s="157" t="str">
        <f>'adv shuffle'!$M$10</f>
        <v/>
      </c>
      <c r="Y43" s="162"/>
    </row>
    <row r="44" spans="1:25">
      <c r="A44" s="162"/>
      <c r="B44" s="157" t="s">
        <v>965</v>
      </c>
      <c r="C44" s="157">
        <f>builder!G78</f>
        <v>0</v>
      </c>
      <c r="D44" s="162"/>
      <c r="E44" s="162"/>
      <c r="F44" s="162"/>
      <c r="G44" s="162"/>
      <c r="H44" s="162"/>
      <c r="I44" s="162"/>
      <c r="J44" s="162"/>
      <c r="K44" s="162"/>
      <c r="L44" s="162"/>
      <c r="M44" s="162"/>
      <c r="N44" s="162"/>
      <c r="O44" s="162"/>
      <c r="P44" s="162"/>
      <c r="Q44" s="162"/>
      <c r="R44" s="162"/>
      <c r="S44" s="162"/>
      <c r="T44" s="162"/>
      <c r="U44" s="162"/>
      <c r="V44" s="162"/>
      <c r="W44" s="162"/>
      <c r="X44" s="157" t="str">
        <f>'adv shuffle'!$M$11</f>
        <v/>
      </c>
      <c r="Y44" s="162"/>
    </row>
    <row r="45" spans="1:25">
      <c r="A45" s="162"/>
      <c r="B45" s="157" t="s">
        <v>383</v>
      </c>
      <c r="C45" s="157">
        <f>builder!B81</f>
        <v>0</v>
      </c>
      <c r="D45" s="162"/>
      <c r="E45" s="162"/>
      <c r="F45" s="162"/>
      <c r="G45" s="162"/>
      <c r="H45" s="162"/>
      <c r="I45" s="162"/>
      <c r="J45" s="162"/>
      <c r="K45" s="162"/>
      <c r="L45" s="162"/>
      <c r="M45" s="162"/>
      <c r="N45" s="162"/>
      <c r="O45" s="162"/>
      <c r="P45" s="162"/>
      <c r="Q45" s="162"/>
      <c r="R45" s="162"/>
      <c r="S45" s="162"/>
      <c r="T45" s="162"/>
      <c r="U45" s="162"/>
      <c r="V45" s="162"/>
      <c r="W45" s="162"/>
      <c r="X45" s="157" t="str">
        <f>'adv shuffle'!$M$12</f>
        <v/>
      </c>
      <c r="Y45" s="162"/>
    </row>
    <row r="46" spans="1:25">
      <c r="A46" s="162"/>
      <c r="B46" s="157" t="s">
        <v>384</v>
      </c>
      <c r="C46" s="157">
        <f>builder!B83</f>
        <v>0</v>
      </c>
      <c r="D46" s="162"/>
      <c r="E46" s="162"/>
      <c r="F46" s="162"/>
      <c r="G46" s="162"/>
      <c r="H46" s="162"/>
      <c r="I46" s="162"/>
      <c r="J46" s="162"/>
      <c r="K46" s="162"/>
      <c r="L46" s="162"/>
      <c r="M46" s="162"/>
      <c r="N46" s="162"/>
      <c r="O46" s="162"/>
      <c r="P46" s="162"/>
      <c r="Q46" s="162"/>
      <c r="R46" s="162"/>
      <c r="S46" s="162"/>
      <c r="T46" s="162"/>
      <c r="U46" s="162"/>
      <c r="V46" s="162"/>
      <c r="W46" s="162"/>
      <c r="X46" s="157" t="str">
        <f>'adv shuffle'!$M$13</f>
        <v/>
      </c>
      <c r="Y46" s="162"/>
    </row>
    <row r="47" spans="1:25">
      <c r="A47" s="162"/>
      <c r="B47" s="157" t="s">
        <v>385</v>
      </c>
      <c r="C47" s="157">
        <f>builder!B85</f>
        <v>0</v>
      </c>
      <c r="D47" s="162"/>
      <c r="E47" s="162"/>
      <c r="F47" s="162"/>
      <c r="G47" s="162"/>
      <c r="H47" s="162"/>
      <c r="I47" s="162"/>
      <c r="J47" s="162"/>
      <c r="K47" s="162"/>
      <c r="L47" s="162"/>
      <c r="M47" s="162"/>
      <c r="N47" s="162"/>
      <c r="O47" s="162"/>
      <c r="P47" s="162"/>
      <c r="Q47" s="162"/>
      <c r="R47" s="162"/>
      <c r="S47" s="162"/>
      <c r="T47" s="162"/>
      <c r="U47" s="162"/>
      <c r="V47" s="162"/>
      <c r="W47" s="162"/>
      <c r="X47" s="157" t="str">
        <f>'adv shuffle'!$M$14</f>
        <v/>
      </c>
      <c r="Y47" s="162"/>
    </row>
    <row r="48" spans="1:25" s="157" customFormat="1">
      <c r="A48" s="162"/>
      <c r="D48" s="162"/>
      <c r="E48" s="162"/>
      <c r="F48" s="162"/>
      <c r="G48" s="162"/>
      <c r="H48" s="162"/>
      <c r="I48" s="162"/>
      <c r="J48" s="162"/>
      <c r="K48" s="162"/>
      <c r="L48" s="162"/>
      <c r="M48" s="162"/>
      <c r="N48" s="162"/>
      <c r="O48" s="162"/>
      <c r="P48" s="162"/>
      <c r="Q48" s="162"/>
      <c r="R48" s="162"/>
      <c r="S48" s="162"/>
      <c r="T48" s="162"/>
      <c r="U48" s="162"/>
      <c r="V48" s="162"/>
      <c r="W48" s="162"/>
      <c r="Y48" s="162"/>
    </row>
    <row r="49" spans="1:25">
      <c r="A49" s="162"/>
      <c r="D49" s="162"/>
      <c r="E49" s="162"/>
      <c r="F49" s="162"/>
      <c r="G49" s="162"/>
      <c r="H49" s="162"/>
      <c r="I49" s="162"/>
      <c r="J49" s="162"/>
      <c r="K49" s="162"/>
      <c r="L49" s="162"/>
      <c r="M49" s="162"/>
      <c r="N49" s="162"/>
      <c r="O49" s="162"/>
      <c r="P49" s="162"/>
      <c r="Q49" s="162"/>
      <c r="R49" s="162"/>
      <c r="S49" s="162"/>
      <c r="T49" s="162"/>
      <c r="U49" s="162"/>
      <c r="V49" s="162"/>
      <c r="W49" s="162"/>
      <c r="X49" s="157" t="str">
        <f>'adv shuffle'!$M$15</f>
        <v/>
      </c>
      <c r="Y49" s="162"/>
    </row>
    <row r="50" spans="1:25">
      <c r="A50" s="162"/>
      <c r="D50" s="162"/>
      <c r="E50" s="162"/>
      <c r="F50" s="162"/>
      <c r="G50" s="162"/>
      <c r="H50" s="162"/>
      <c r="I50" s="162"/>
      <c r="J50" s="162"/>
      <c r="K50" s="162"/>
      <c r="L50" s="162"/>
      <c r="M50" s="162"/>
      <c r="N50" s="162"/>
      <c r="O50" s="162"/>
      <c r="P50" s="162"/>
      <c r="Q50" s="162"/>
      <c r="R50" s="162"/>
      <c r="S50" s="162"/>
      <c r="T50" s="162"/>
      <c r="U50" s="162"/>
      <c r="V50" s="162"/>
      <c r="W50" s="162"/>
      <c r="X50" s="157" t="str">
        <f>IF('adv shuffle'!O33&lt;&gt;"",CONCATENATE("Duelist Style: ",'adv shuffle'!O33,": ",print!C110),"")</f>
        <v/>
      </c>
      <c r="Y50" s="162"/>
    </row>
    <row r="51" spans="1:25">
      <c r="A51" s="162"/>
      <c r="D51" s="162"/>
      <c r="E51" s="162"/>
      <c r="F51" s="162"/>
      <c r="G51" s="162"/>
      <c r="H51" s="162"/>
      <c r="I51" s="162"/>
      <c r="J51" s="162"/>
      <c r="K51" s="162"/>
      <c r="L51" s="162"/>
      <c r="M51" s="162"/>
      <c r="N51" s="162"/>
      <c r="O51" s="162"/>
      <c r="P51" s="162"/>
      <c r="Q51" s="162"/>
      <c r="R51" s="162"/>
      <c r="S51" s="162"/>
      <c r="T51" s="162"/>
      <c r="U51" s="162"/>
      <c r="V51" s="162"/>
      <c r="W51" s="162"/>
      <c r="X51" s="157" t="str">
        <f>IF('adv shuffle'!O32&lt;&gt;"",CONCATENATE("Duelist Style: ",'adv shuffle'!O32,": ",print!C107),"")</f>
        <v/>
      </c>
      <c r="Y51" s="162"/>
    </row>
    <row r="52" spans="1:25">
      <c r="A52" s="162"/>
      <c r="B52" s="17"/>
      <c r="C52" s="17"/>
      <c r="D52" s="162"/>
      <c r="E52" s="162"/>
      <c r="F52" s="162"/>
      <c r="G52" s="162"/>
      <c r="H52" s="162"/>
      <c r="I52" s="162"/>
      <c r="J52" s="162"/>
      <c r="K52" s="162"/>
      <c r="L52" s="162"/>
      <c r="M52" s="162"/>
      <c r="N52" s="162"/>
      <c r="O52" s="162"/>
      <c r="P52" s="162"/>
      <c r="Q52" s="162"/>
      <c r="R52" s="162"/>
      <c r="S52" s="162"/>
      <c r="T52" s="162"/>
      <c r="U52" s="162"/>
      <c r="V52" s="162"/>
      <c r="W52" s="162"/>
      <c r="X52" s="157" t="str">
        <f>IF('adv shuffle'!O31&lt;&gt;"",CONCATENATE("Duelist Style: ",'adv shuffle'!O31,": ",print!C104),"")</f>
        <v/>
      </c>
      <c r="Y52" s="162"/>
    </row>
    <row r="53" spans="1:25">
      <c r="A53" s="162"/>
      <c r="B53" s="309" t="str">
        <f>CONCATENATE("Corruption: ",builder!$P$86)</f>
        <v>Corruption: 0</v>
      </c>
      <c r="C53" s="309"/>
      <c r="D53" s="162"/>
      <c r="E53" s="162"/>
      <c r="F53" s="162"/>
      <c r="G53" s="162"/>
      <c r="H53" s="162"/>
      <c r="I53" s="162"/>
      <c r="J53" s="162"/>
      <c r="K53" s="162"/>
      <c r="L53" s="162"/>
      <c r="M53" s="162"/>
      <c r="N53" s="162"/>
      <c r="O53" s="162"/>
      <c r="P53" s="162"/>
      <c r="Q53" s="162"/>
      <c r="R53" s="162"/>
      <c r="S53" s="162"/>
      <c r="T53" s="162"/>
      <c r="U53" s="162"/>
      <c r="V53" s="162"/>
      <c r="W53" s="162"/>
      <c r="X53" s="157" t="str">
        <f>CONCATENATE("Secret Society: ",builder!$B$103)</f>
        <v xml:space="preserve">Secret Society: </v>
      </c>
      <c r="Y53" s="162"/>
    </row>
    <row r="54" spans="1:25">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row>
    <row r="55" spans="1:25" ht="32.25" customHeight="1"/>
    <row r="56" spans="1:25" s="177" customFormat="1" ht="9.75" customHeight="1">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row>
    <row r="57" spans="1:25" s="177" customFormat="1" ht="16.5" customHeight="1">
      <c r="A57" s="162"/>
      <c r="B57" s="306" t="s">
        <v>1008</v>
      </c>
      <c r="C57" s="306"/>
      <c r="D57" s="306"/>
      <c r="E57" s="306"/>
      <c r="F57" s="306"/>
      <c r="G57" s="306"/>
      <c r="H57" s="306"/>
      <c r="I57" s="306"/>
      <c r="J57" s="306"/>
      <c r="K57" s="306"/>
      <c r="L57" s="306"/>
      <c r="M57" s="306"/>
      <c r="N57" s="306"/>
      <c r="O57" s="306"/>
      <c r="P57" s="306"/>
      <c r="Q57" s="306"/>
      <c r="R57" s="306"/>
      <c r="S57" s="306"/>
      <c r="T57" s="306"/>
      <c r="U57" s="306"/>
      <c r="V57" s="306"/>
      <c r="W57" s="306"/>
      <c r="X57" s="306"/>
      <c r="Y57" s="162"/>
    </row>
    <row r="58" spans="1:25" s="189" customFormat="1" ht="12.75">
      <c r="A58" s="188"/>
      <c r="B58" s="191" t="s">
        <v>97</v>
      </c>
      <c r="Y58" s="188"/>
    </row>
    <row r="59" spans="1:25" s="189" customFormat="1" ht="12.75">
      <c r="A59" s="188"/>
      <c r="B59" s="192">
        <f>X3</f>
        <v>0</v>
      </c>
      <c r="C59" s="312" t="e">
        <f>print!B30</f>
        <v>#N/A</v>
      </c>
      <c r="D59" s="312"/>
      <c r="E59" s="312"/>
      <c r="F59" s="312"/>
      <c r="G59" s="312"/>
      <c r="H59" s="312"/>
      <c r="I59" s="312"/>
      <c r="J59" s="312"/>
      <c r="K59" s="312"/>
      <c r="L59" s="312"/>
      <c r="M59" s="312"/>
      <c r="N59" s="312"/>
      <c r="O59" s="312"/>
      <c r="P59" s="312"/>
      <c r="Q59" s="312"/>
      <c r="R59" s="312"/>
      <c r="S59" s="312"/>
      <c r="T59" s="312"/>
      <c r="U59" s="312"/>
      <c r="V59" s="312"/>
      <c r="W59" s="312"/>
      <c r="X59" s="312"/>
      <c r="Y59" s="188"/>
    </row>
    <row r="60" spans="1:25" s="189" customFormat="1" ht="12.75">
      <c r="A60" s="188"/>
      <c r="B60" s="192">
        <f>X11</f>
        <v>0</v>
      </c>
      <c r="C60" s="312" t="e">
        <f>print!B36</f>
        <v>#N/A</v>
      </c>
      <c r="D60" s="312"/>
      <c r="E60" s="312"/>
      <c r="F60" s="312"/>
      <c r="G60" s="312"/>
      <c r="H60" s="312"/>
      <c r="I60" s="312"/>
      <c r="J60" s="312"/>
      <c r="K60" s="312"/>
      <c r="L60" s="312"/>
      <c r="M60" s="312"/>
      <c r="N60" s="312"/>
      <c r="O60" s="312"/>
      <c r="P60" s="312"/>
      <c r="Q60" s="312"/>
      <c r="R60" s="312"/>
      <c r="S60" s="312"/>
      <c r="T60" s="312"/>
      <c r="U60" s="312"/>
      <c r="V60" s="312"/>
      <c r="W60" s="312"/>
      <c r="X60" s="312"/>
      <c r="Y60" s="188"/>
    </row>
    <row r="61" spans="1:25" s="189" customFormat="1" ht="12.75">
      <c r="A61" s="188"/>
      <c r="B61" s="191" t="s">
        <v>0</v>
      </c>
      <c r="Y61" s="188"/>
    </row>
    <row r="62" spans="1:25" ht="24.75" customHeight="1">
      <c r="A62" s="162"/>
      <c r="B62" s="193" t="str">
        <f>'adv shuffle'!U2</f>
        <v>Styles</v>
      </c>
      <c r="C62" s="311" t="str">
        <f>'adv shuffle'!V2</f>
        <v/>
      </c>
      <c r="D62" s="311"/>
      <c r="E62" s="311"/>
      <c r="F62" s="311"/>
      <c r="G62" s="311"/>
      <c r="H62" s="311"/>
      <c r="I62" s="311"/>
      <c r="J62" s="311"/>
      <c r="K62" s="311"/>
      <c r="L62" s="311"/>
      <c r="M62" s="311"/>
      <c r="N62" s="311"/>
      <c r="O62" s="311"/>
      <c r="P62" s="311"/>
      <c r="Q62" s="311"/>
      <c r="R62" s="311"/>
      <c r="S62" s="311"/>
      <c r="T62" s="311"/>
      <c r="U62" s="311"/>
      <c r="V62" s="311"/>
      <c r="W62" s="311"/>
      <c r="X62" s="311"/>
      <c r="Y62" s="162"/>
    </row>
    <row r="63" spans="1:25" ht="24.75" customHeight="1">
      <c r="A63" s="162"/>
      <c r="B63" s="193" t="str">
        <f>'adv shuffle'!U3</f>
        <v>Sorcery</v>
      </c>
      <c r="C63" s="311" t="str">
        <f>'adv shuffle'!V3</f>
        <v>None</v>
      </c>
      <c r="D63" s="311"/>
      <c r="E63" s="311"/>
      <c r="F63" s="311"/>
      <c r="G63" s="311"/>
      <c r="H63" s="311"/>
      <c r="I63" s="311"/>
      <c r="J63" s="311"/>
      <c r="K63" s="311"/>
      <c r="L63" s="311"/>
      <c r="M63" s="311"/>
      <c r="N63" s="311"/>
      <c r="O63" s="311"/>
      <c r="P63" s="311"/>
      <c r="Q63" s="311"/>
      <c r="R63" s="311"/>
      <c r="S63" s="311"/>
      <c r="T63" s="311"/>
      <c r="U63" s="311"/>
      <c r="V63" s="311"/>
      <c r="W63" s="311"/>
      <c r="X63" s="311"/>
      <c r="Y63" s="162"/>
    </row>
    <row r="64" spans="1:25" ht="24.75" customHeight="1">
      <c r="A64" s="162"/>
      <c r="B64" s="193" t="str">
        <f>'adv shuffle'!U4</f>
        <v/>
      </c>
      <c r="C64" s="311" t="str">
        <f>'adv shuffle'!V4</f>
        <v/>
      </c>
      <c r="D64" s="311"/>
      <c r="E64" s="311"/>
      <c r="F64" s="311"/>
      <c r="G64" s="311"/>
      <c r="H64" s="311"/>
      <c r="I64" s="311"/>
      <c r="J64" s="311"/>
      <c r="K64" s="311"/>
      <c r="L64" s="311"/>
      <c r="M64" s="311"/>
      <c r="N64" s="311"/>
      <c r="O64" s="311"/>
      <c r="P64" s="311"/>
      <c r="Q64" s="311"/>
      <c r="R64" s="311"/>
      <c r="S64" s="311"/>
      <c r="T64" s="311"/>
      <c r="U64" s="311"/>
      <c r="V64" s="311"/>
      <c r="W64" s="311"/>
      <c r="X64" s="311"/>
      <c r="Y64" s="162"/>
    </row>
    <row r="65" spans="1:25" ht="24.75" customHeight="1">
      <c r="A65" s="162"/>
      <c r="B65" s="193" t="str">
        <f>'adv shuffle'!U5</f>
        <v/>
      </c>
      <c r="C65" s="311" t="str">
        <f>'adv shuffle'!V5</f>
        <v/>
      </c>
      <c r="D65" s="311"/>
      <c r="E65" s="311"/>
      <c r="F65" s="311"/>
      <c r="G65" s="311"/>
      <c r="H65" s="311"/>
      <c r="I65" s="311"/>
      <c r="J65" s="311"/>
      <c r="K65" s="311"/>
      <c r="L65" s="311"/>
      <c r="M65" s="311"/>
      <c r="N65" s="311"/>
      <c r="O65" s="311"/>
      <c r="P65" s="311"/>
      <c r="Q65" s="311"/>
      <c r="R65" s="311"/>
      <c r="S65" s="311"/>
      <c r="T65" s="311"/>
      <c r="U65" s="311"/>
      <c r="V65" s="311"/>
      <c r="W65" s="311"/>
      <c r="X65" s="311"/>
      <c r="Y65" s="162"/>
    </row>
    <row r="66" spans="1:25" ht="24.75" customHeight="1">
      <c r="A66" s="162"/>
      <c r="B66" s="193" t="str">
        <f>'adv shuffle'!U6</f>
        <v/>
      </c>
      <c r="C66" s="311" t="str">
        <f>'adv shuffle'!V6</f>
        <v/>
      </c>
      <c r="D66" s="311"/>
      <c r="E66" s="311"/>
      <c r="F66" s="311"/>
      <c r="G66" s="311"/>
      <c r="H66" s="311"/>
      <c r="I66" s="311"/>
      <c r="J66" s="311"/>
      <c r="K66" s="311"/>
      <c r="L66" s="311"/>
      <c r="M66" s="311"/>
      <c r="N66" s="311"/>
      <c r="O66" s="311"/>
      <c r="P66" s="311"/>
      <c r="Q66" s="311"/>
      <c r="R66" s="311"/>
      <c r="S66" s="311"/>
      <c r="T66" s="311"/>
      <c r="U66" s="311"/>
      <c r="V66" s="311"/>
      <c r="W66" s="311"/>
      <c r="X66" s="311"/>
      <c r="Y66" s="162"/>
    </row>
    <row r="67" spans="1:25" ht="24.75" customHeight="1">
      <c r="A67" s="162"/>
      <c r="B67" s="193" t="str">
        <f>'adv shuffle'!U7</f>
        <v/>
      </c>
      <c r="C67" s="311" t="str">
        <f>'adv shuffle'!V7</f>
        <v/>
      </c>
      <c r="D67" s="311"/>
      <c r="E67" s="311"/>
      <c r="F67" s="311"/>
      <c r="G67" s="311"/>
      <c r="H67" s="311"/>
      <c r="I67" s="311"/>
      <c r="J67" s="311"/>
      <c r="K67" s="311"/>
      <c r="L67" s="311"/>
      <c r="M67" s="311"/>
      <c r="N67" s="311"/>
      <c r="O67" s="311"/>
      <c r="P67" s="311"/>
      <c r="Q67" s="311"/>
      <c r="R67" s="311"/>
      <c r="S67" s="311"/>
      <c r="T67" s="311"/>
      <c r="U67" s="311"/>
      <c r="V67" s="311"/>
      <c r="W67" s="311"/>
      <c r="X67" s="311"/>
      <c r="Y67" s="162"/>
    </row>
    <row r="68" spans="1:25" ht="24.75" customHeight="1">
      <c r="A68" s="162"/>
      <c r="B68" s="193" t="str">
        <f>'adv shuffle'!U8</f>
        <v/>
      </c>
      <c r="C68" s="311" t="str">
        <f>'adv shuffle'!V8</f>
        <v/>
      </c>
      <c r="D68" s="311"/>
      <c r="E68" s="311"/>
      <c r="F68" s="311"/>
      <c r="G68" s="311"/>
      <c r="H68" s="311"/>
      <c r="I68" s="311"/>
      <c r="J68" s="311"/>
      <c r="K68" s="311"/>
      <c r="L68" s="311"/>
      <c r="M68" s="311"/>
      <c r="N68" s="311"/>
      <c r="O68" s="311"/>
      <c r="P68" s="311"/>
      <c r="Q68" s="311"/>
      <c r="R68" s="311"/>
      <c r="S68" s="311"/>
      <c r="T68" s="311"/>
      <c r="U68" s="311"/>
      <c r="V68" s="311"/>
      <c r="W68" s="311"/>
      <c r="X68" s="311"/>
      <c r="Y68" s="162"/>
    </row>
    <row r="69" spans="1:25" ht="24.75" customHeight="1">
      <c r="A69" s="162"/>
      <c r="B69" s="193" t="str">
        <f>'adv shuffle'!U9</f>
        <v/>
      </c>
      <c r="C69" s="311" t="str">
        <f>'adv shuffle'!V9</f>
        <v/>
      </c>
      <c r="D69" s="311"/>
      <c r="E69" s="311"/>
      <c r="F69" s="311"/>
      <c r="G69" s="311"/>
      <c r="H69" s="311"/>
      <c r="I69" s="311"/>
      <c r="J69" s="311"/>
      <c r="K69" s="311"/>
      <c r="L69" s="311"/>
      <c r="M69" s="311"/>
      <c r="N69" s="311"/>
      <c r="O69" s="311"/>
      <c r="P69" s="311"/>
      <c r="Q69" s="311"/>
      <c r="R69" s="311"/>
      <c r="S69" s="311"/>
      <c r="T69" s="311"/>
      <c r="U69" s="311"/>
      <c r="V69" s="311"/>
      <c r="W69" s="311"/>
      <c r="X69" s="311"/>
      <c r="Y69" s="162"/>
    </row>
    <row r="70" spans="1:25" ht="24.75" customHeight="1">
      <c r="A70" s="162"/>
      <c r="B70" s="193" t="str">
        <f>'adv shuffle'!U10</f>
        <v/>
      </c>
      <c r="C70" s="311" t="str">
        <f>'adv shuffle'!V10</f>
        <v/>
      </c>
      <c r="D70" s="311"/>
      <c r="E70" s="311"/>
      <c r="F70" s="311"/>
      <c r="G70" s="311"/>
      <c r="H70" s="311"/>
      <c r="I70" s="311"/>
      <c r="J70" s="311"/>
      <c r="K70" s="311"/>
      <c r="L70" s="311"/>
      <c r="M70" s="311"/>
      <c r="N70" s="311"/>
      <c r="O70" s="311"/>
      <c r="P70" s="311"/>
      <c r="Q70" s="311"/>
      <c r="R70" s="311"/>
      <c r="S70" s="311"/>
      <c r="T70" s="311"/>
      <c r="U70" s="311"/>
      <c r="V70" s="311"/>
      <c r="W70" s="311"/>
      <c r="X70" s="311"/>
      <c r="Y70" s="162"/>
    </row>
    <row r="71" spans="1:25" ht="24.75" customHeight="1">
      <c r="A71" s="162"/>
      <c r="B71" s="193" t="str">
        <f>'adv shuffle'!U11</f>
        <v/>
      </c>
      <c r="C71" s="311" t="str">
        <f>'adv shuffle'!V11</f>
        <v/>
      </c>
      <c r="D71" s="311"/>
      <c r="E71" s="311"/>
      <c r="F71" s="311"/>
      <c r="G71" s="311"/>
      <c r="H71" s="311"/>
      <c r="I71" s="311"/>
      <c r="J71" s="311"/>
      <c r="K71" s="311"/>
      <c r="L71" s="311"/>
      <c r="M71" s="311"/>
      <c r="N71" s="311"/>
      <c r="O71" s="311"/>
      <c r="P71" s="311"/>
      <c r="Q71" s="311"/>
      <c r="R71" s="311"/>
      <c r="S71" s="311"/>
      <c r="T71" s="311"/>
      <c r="U71" s="311"/>
      <c r="V71" s="311"/>
      <c r="W71" s="311"/>
      <c r="X71" s="311"/>
      <c r="Y71" s="162"/>
    </row>
    <row r="72" spans="1:25" ht="24.75" customHeight="1">
      <c r="A72" s="162"/>
      <c r="B72" s="193" t="str">
        <f>'adv shuffle'!U12</f>
        <v/>
      </c>
      <c r="C72" s="311" t="str">
        <f>'adv shuffle'!V12</f>
        <v/>
      </c>
      <c r="D72" s="311"/>
      <c r="E72" s="311"/>
      <c r="F72" s="311"/>
      <c r="G72" s="311"/>
      <c r="H72" s="311"/>
      <c r="I72" s="311"/>
      <c r="J72" s="311"/>
      <c r="K72" s="311"/>
      <c r="L72" s="311"/>
      <c r="M72" s="311"/>
      <c r="N72" s="311"/>
      <c r="O72" s="311"/>
      <c r="P72" s="311"/>
      <c r="Q72" s="311"/>
      <c r="R72" s="311"/>
      <c r="S72" s="311"/>
      <c r="T72" s="311"/>
      <c r="U72" s="311"/>
      <c r="V72" s="311"/>
      <c r="W72" s="311"/>
      <c r="X72" s="311"/>
      <c r="Y72" s="162"/>
    </row>
    <row r="73" spans="1:25" ht="24.75" customHeight="1">
      <c r="A73" s="162"/>
      <c r="B73" s="193" t="str">
        <f>'adv shuffle'!U13</f>
        <v/>
      </c>
      <c r="C73" s="311" t="str">
        <f>'adv shuffle'!V13</f>
        <v/>
      </c>
      <c r="D73" s="311"/>
      <c r="E73" s="311"/>
      <c r="F73" s="311"/>
      <c r="G73" s="311"/>
      <c r="H73" s="311"/>
      <c r="I73" s="311"/>
      <c r="J73" s="311"/>
      <c r="K73" s="311"/>
      <c r="L73" s="311"/>
      <c r="M73" s="311"/>
      <c r="N73" s="311"/>
      <c r="O73" s="311"/>
      <c r="P73" s="311"/>
      <c r="Q73" s="311"/>
      <c r="R73" s="311"/>
      <c r="S73" s="311"/>
      <c r="T73" s="311"/>
      <c r="U73" s="311"/>
      <c r="V73" s="311"/>
      <c r="W73" s="311"/>
      <c r="X73" s="311"/>
      <c r="Y73" s="162"/>
    </row>
    <row r="74" spans="1:25" ht="24.75" customHeight="1">
      <c r="A74" s="162"/>
      <c r="B74" s="193" t="str">
        <f>'adv shuffle'!U14</f>
        <v/>
      </c>
      <c r="C74" s="311" t="str">
        <f>'adv shuffle'!V14</f>
        <v/>
      </c>
      <c r="D74" s="311"/>
      <c r="E74" s="311"/>
      <c r="F74" s="311"/>
      <c r="G74" s="311"/>
      <c r="H74" s="311"/>
      <c r="I74" s="311"/>
      <c r="J74" s="311"/>
      <c r="K74" s="311"/>
      <c r="L74" s="311"/>
      <c r="M74" s="311"/>
      <c r="N74" s="311"/>
      <c r="O74" s="311"/>
      <c r="P74" s="311"/>
      <c r="Q74" s="311"/>
      <c r="R74" s="311"/>
      <c r="S74" s="311"/>
      <c r="T74" s="311"/>
      <c r="U74" s="311"/>
      <c r="V74" s="311"/>
      <c r="W74" s="311"/>
      <c r="X74" s="311"/>
      <c r="Y74" s="162"/>
    </row>
    <row r="75" spans="1:25" ht="24.75" customHeight="1">
      <c r="A75" s="162"/>
      <c r="B75" s="193" t="str">
        <f>'adv shuffle'!U15</f>
        <v/>
      </c>
      <c r="C75" s="311" t="str">
        <f>'adv shuffle'!V15</f>
        <v/>
      </c>
      <c r="D75" s="311"/>
      <c r="E75" s="311"/>
      <c r="F75" s="311"/>
      <c r="G75" s="311"/>
      <c r="H75" s="311"/>
      <c r="I75" s="311"/>
      <c r="J75" s="311"/>
      <c r="K75" s="311"/>
      <c r="L75" s="311"/>
      <c r="M75" s="311"/>
      <c r="N75" s="311"/>
      <c r="O75" s="311"/>
      <c r="P75" s="311"/>
      <c r="Q75" s="311"/>
      <c r="R75" s="311"/>
      <c r="S75" s="311"/>
      <c r="T75" s="311"/>
      <c r="U75" s="311"/>
      <c r="V75" s="311"/>
      <c r="W75" s="311"/>
      <c r="X75" s="311"/>
      <c r="Y75" s="162"/>
    </row>
    <row r="76" spans="1:25" ht="24.75" customHeight="1">
      <c r="A76" s="162"/>
      <c r="B76" s="193" t="str">
        <f>'adv shuffle'!U16</f>
        <v/>
      </c>
      <c r="C76" s="311" t="str">
        <f>'adv shuffle'!V16</f>
        <v/>
      </c>
      <c r="D76" s="311"/>
      <c r="E76" s="311"/>
      <c r="F76" s="311"/>
      <c r="G76" s="311"/>
      <c r="H76" s="311"/>
      <c r="I76" s="311"/>
      <c r="J76" s="311"/>
      <c r="K76" s="311"/>
      <c r="L76" s="311"/>
      <c r="M76" s="311"/>
      <c r="N76" s="311"/>
      <c r="O76" s="311"/>
      <c r="P76" s="311"/>
      <c r="Q76" s="311"/>
      <c r="R76" s="311"/>
      <c r="S76" s="311"/>
      <c r="T76" s="311"/>
      <c r="U76" s="311"/>
      <c r="V76" s="311"/>
      <c r="W76" s="311"/>
      <c r="X76" s="311"/>
      <c r="Y76" s="162"/>
    </row>
    <row r="77" spans="1:25" ht="24.75" customHeight="1">
      <c r="A77" s="162"/>
      <c r="B77" s="193" t="str">
        <f>'adv shuffle'!U17</f>
        <v/>
      </c>
      <c r="C77" s="311" t="str">
        <f>'adv shuffle'!V17</f>
        <v/>
      </c>
      <c r="D77" s="311"/>
      <c r="E77" s="311"/>
      <c r="F77" s="311"/>
      <c r="G77" s="311"/>
      <c r="H77" s="311"/>
      <c r="I77" s="311"/>
      <c r="J77" s="311"/>
      <c r="K77" s="311"/>
      <c r="L77" s="311"/>
      <c r="M77" s="311"/>
      <c r="N77" s="311"/>
      <c r="O77" s="311"/>
      <c r="P77" s="311"/>
      <c r="Q77" s="311"/>
      <c r="R77" s="311"/>
      <c r="S77" s="311"/>
      <c r="T77" s="311"/>
      <c r="U77" s="311"/>
      <c r="V77" s="311"/>
      <c r="W77" s="311"/>
      <c r="X77" s="311"/>
      <c r="Y77" s="162"/>
    </row>
    <row r="78" spans="1:25" ht="24.75" customHeight="1">
      <c r="A78" s="162"/>
      <c r="B78" s="193" t="str">
        <f>'adv shuffle'!U18</f>
        <v/>
      </c>
      <c r="C78" s="311" t="str">
        <f>'adv shuffle'!V18</f>
        <v/>
      </c>
      <c r="D78" s="311"/>
      <c r="E78" s="311"/>
      <c r="F78" s="311"/>
      <c r="G78" s="311"/>
      <c r="H78" s="311"/>
      <c r="I78" s="311"/>
      <c r="J78" s="311"/>
      <c r="K78" s="311"/>
      <c r="L78" s="311"/>
      <c r="M78" s="311"/>
      <c r="N78" s="311"/>
      <c r="O78" s="311"/>
      <c r="P78" s="311"/>
      <c r="Q78" s="311"/>
      <c r="R78" s="311"/>
      <c r="S78" s="311"/>
      <c r="T78" s="311"/>
      <c r="U78" s="311"/>
      <c r="V78" s="311"/>
      <c r="W78" s="311"/>
      <c r="X78" s="311"/>
      <c r="Y78" s="162"/>
    </row>
    <row r="79" spans="1:25" ht="24.75" customHeight="1">
      <c r="A79" s="162"/>
      <c r="B79" s="193" t="str">
        <f>'adv shuffle'!U19</f>
        <v/>
      </c>
      <c r="C79" s="311" t="str">
        <f>'adv shuffle'!V19</f>
        <v/>
      </c>
      <c r="D79" s="311"/>
      <c r="E79" s="311"/>
      <c r="F79" s="311"/>
      <c r="G79" s="311"/>
      <c r="H79" s="311"/>
      <c r="I79" s="311"/>
      <c r="J79" s="311"/>
      <c r="K79" s="311"/>
      <c r="L79" s="311"/>
      <c r="M79" s="311"/>
      <c r="N79" s="311"/>
      <c r="O79" s="311"/>
      <c r="P79" s="311"/>
      <c r="Q79" s="311"/>
      <c r="R79" s="311"/>
      <c r="S79" s="311"/>
      <c r="T79" s="311"/>
      <c r="U79" s="311"/>
      <c r="V79" s="311"/>
      <c r="W79" s="311"/>
      <c r="X79" s="311"/>
      <c r="Y79" s="162"/>
    </row>
    <row r="80" spans="1:25" ht="24.75" customHeight="1">
      <c r="A80" s="162"/>
      <c r="B80" s="193" t="str">
        <f>'adv shuffle'!U20</f>
        <v/>
      </c>
      <c r="C80" s="311" t="str">
        <f>'adv shuffle'!V20</f>
        <v/>
      </c>
      <c r="D80" s="311"/>
      <c r="E80" s="311"/>
      <c r="F80" s="311"/>
      <c r="G80" s="311"/>
      <c r="H80" s="311"/>
      <c r="I80" s="311"/>
      <c r="J80" s="311"/>
      <c r="K80" s="311"/>
      <c r="L80" s="311"/>
      <c r="M80" s="311"/>
      <c r="N80" s="311"/>
      <c r="O80" s="311"/>
      <c r="P80" s="311"/>
      <c r="Q80" s="311"/>
      <c r="R80" s="311"/>
      <c r="S80" s="311"/>
      <c r="T80" s="311"/>
      <c r="U80" s="311"/>
      <c r="V80" s="311"/>
      <c r="W80" s="311"/>
      <c r="X80" s="311"/>
      <c r="Y80" s="162"/>
    </row>
    <row r="81" spans="1:25" ht="24.75" customHeight="1">
      <c r="A81" s="162"/>
      <c r="B81" s="193" t="str">
        <f>'adv shuffle'!U21</f>
        <v/>
      </c>
      <c r="C81" s="311" t="str">
        <f>'adv shuffle'!V21</f>
        <v/>
      </c>
      <c r="D81" s="311"/>
      <c r="E81" s="311"/>
      <c r="F81" s="311"/>
      <c r="G81" s="311"/>
      <c r="H81" s="311"/>
      <c r="I81" s="311"/>
      <c r="J81" s="311"/>
      <c r="K81" s="311"/>
      <c r="L81" s="311"/>
      <c r="M81" s="311"/>
      <c r="N81" s="311"/>
      <c r="O81" s="311"/>
      <c r="P81" s="311"/>
      <c r="Q81" s="311"/>
      <c r="R81" s="311"/>
      <c r="S81" s="311"/>
      <c r="T81" s="311"/>
      <c r="U81" s="311"/>
      <c r="V81" s="311"/>
      <c r="W81" s="311"/>
      <c r="X81" s="311"/>
      <c r="Y81" s="162"/>
    </row>
    <row r="82" spans="1:25" ht="24.75" customHeight="1">
      <c r="A82" s="162"/>
      <c r="B82" s="193" t="str">
        <f>'adv shuffle'!U22</f>
        <v/>
      </c>
      <c r="C82" s="311" t="str">
        <f>'adv shuffle'!V22</f>
        <v/>
      </c>
      <c r="D82" s="311"/>
      <c r="E82" s="311"/>
      <c r="F82" s="311"/>
      <c r="G82" s="311"/>
      <c r="H82" s="311"/>
      <c r="I82" s="311"/>
      <c r="J82" s="311"/>
      <c r="K82" s="311"/>
      <c r="L82" s="311"/>
      <c r="M82" s="311"/>
      <c r="N82" s="311"/>
      <c r="O82" s="311"/>
      <c r="P82" s="311"/>
      <c r="Q82" s="311"/>
      <c r="R82" s="311"/>
      <c r="S82" s="311"/>
      <c r="T82" s="311"/>
      <c r="U82" s="311"/>
      <c r="V82" s="311"/>
      <c r="W82" s="311"/>
      <c r="X82" s="311"/>
      <c r="Y82" s="162"/>
    </row>
    <row r="83" spans="1:25" ht="24.75" customHeight="1">
      <c r="A83" s="162"/>
      <c r="B83" s="193" t="str">
        <f>'adv shuffle'!U23</f>
        <v/>
      </c>
      <c r="C83" s="311" t="str">
        <f>'adv shuffle'!V23</f>
        <v/>
      </c>
      <c r="D83" s="311"/>
      <c r="E83" s="311"/>
      <c r="F83" s="311"/>
      <c r="G83" s="311"/>
      <c r="H83" s="311"/>
      <c r="I83" s="311"/>
      <c r="J83" s="311"/>
      <c r="K83" s="311"/>
      <c r="L83" s="311"/>
      <c r="M83" s="311"/>
      <c r="N83" s="311"/>
      <c r="O83" s="311"/>
      <c r="P83" s="311"/>
      <c r="Q83" s="311"/>
      <c r="R83" s="311"/>
      <c r="S83" s="311"/>
      <c r="T83" s="311"/>
      <c r="U83" s="311"/>
      <c r="V83" s="311"/>
      <c r="W83" s="311"/>
      <c r="X83" s="311"/>
      <c r="Y83" s="162"/>
    </row>
    <row r="84" spans="1:25" ht="24.75" customHeight="1">
      <c r="A84" s="162"/>
      <c r="B84" s="193" t="str">
        <f>'adv shuffle'!U24</f>
        <v/>
      </c>
      <c r="C84" s="311" t="str">
        <f>'adv shuffle'!V24</f>
        <v/>
      </c>
      <c r="D84" s="311"/>
      <c r="E84" s="311"/>
      <c r="F84" s="311"/>
      <c r="G84" s="311"/>
      <c r="H84" s="311"/>
      <c r="I84" s="311"/>
      <c r="J84" s="311"/>
      <c r="K84" s="311"/>
      <c r="L84" s="311"/>
      <c r="M84" s="311"/>
      <c r="N84" s="311"/>
      <c r="O84" s="311"/>
      <c r="P84" s="311"/>
      <c r="Q84" s="311"/>
      <c r="R84" s="311"/>
      <c r="S84" s="311"/>
      <c r="T84" s="311"/>
      <c r="U84" s="311"/>
      <c r="V84" s="311"/>
      <c r="W84" s="311"/>
      <c r="X84" s="311"/>
      <c r="Y84" s="162"/>
    </row>
    <row r="85" spans="1:25" ht="24.75" customHeight="1">
      <c r="A85" s="162"/>
      <c r="B85" s="193" t="str">
        <f>'adv shuffle'!U25</f>
        <v/>
      </c>
      <c r="C85" s="311" t="str">
        <f>'adv shuffle'!V25</f>
        <v/>
      </c>
      <c r="D85" s="311"/>
      <c r="E85" s="311"/>
      <c r="F85" s="311"/>
      <c r="G85" s="311"/>
      <c r="H85" s="311"/>
      <c r="I85" s="311"/>
      <c r="J85" s="311"/>
      <c r="K85" s="311"/>
      <c r="L85" s="311"/>
      <c r="M85" s="311"/>
      <c r="N85" s="311"/>
      <c r="O85" s="311"/>
      <c r="P85" s="311"/>
      <c r="Q85" s="311"/>
      <c r="R85" s="311"/>
      <c r="S85" s="311"/>
      <c r="T85" s="311"/>
      <c r="U85" s="311"/>
      <c r="V85" s="311"/>
      <c r="W85" s="311"/>
      <c r="X85" s="311"/>
      <c r="Y85" s="162"/>
    </row>
    <row r="86" spans="1:25" ht="24.75" customHeight="1">
      <c r="A86" s="162"/>
      <c r="B86" s="193" t="str">
        <f>'adv shuffle'!U26</f>
        <v/>
      </c>
      <c r="C86" s="311" t="str">
        <f>'adv shuffle'!V26</f>
        <v/>
      </c>
      <c r="D86" s="311"/>
      <c r="E86" s="311"/>
      <c r="F86" s="311"/>
      <c r="G86" s="311"/>
      <c r="H86" s="311"/>
      <c r="I86" s="311"/>
      <c r="J86" s="311"/>
      <c r="K86" s="311"/>
      <c r="L86" s="311"/>
      <c r="M86" s="311"/>
      <c r="N86" s="311"/>
      <c r="O86" s="311"/>
      <c r="P86" s="311"/>
      <c r="Q86" s="311"/>
      <c r="R86" s="311"/>
      <c r="S86" s="311"/>
      <c r="T86" s="311"/>
      <c r="U86" s="311"/>
      <c r="V86" s="311"/>
      <c r="W86" s="311"/>
      <c r="X86" s="311"/>
      <c r="Y86" s="162"/>
    </row>
    <row r="87" spans="1:25" ht="24.75" customHeight="1">
      <c r="A87" s="162"/>
      <c r="B87" s="193" t="str">
        <f>'adv shuffle'!U27</f>
        <v/>
      </c>
      <c r="C87" s="311" t="str">
        <f>'adv shuffle'!V27</f>
        <v/>
      </c>
      <c r="D87" s="311"/>
      <c r="E87" s="311"/>
      <c r="F87" s="311"/>
      <c r="G87" s="311"/>
      <c r="H87" s="311"/>
      <c r="I87" s="311"/>
      <c r="J87" s="311"/>
      <c r="K87" s="311"/>
      <c r="L87" s="311"/>
      <c r="M87" s="311"/>
      <c r="N87" s="311"/>
      <c r="O87" s="311"/>
      <c r="P87" s="311"/>
      <c r="Q87" s="311"/>
      <c r="R87" s="311"/>
      <c r="S87" s="311"/>
      <c r="T87" s="311"/>
      <c r="U87" s="311"/>
      <c r="V87" s="311"/>
      <c r="W87" s="311"/>
      <c r="X87" s="311"/>
      <c r="Y87" s="162"/>
    </row>
    <row r="88" spans="1:25" s="177" customFormat="1" ht="24.75" customHeight="1">
      <c r="A88" s="162"/>
      <c r="B88" s="193" t="str">
        <f>'adv shuffle'!U28</f>
        <v/>
      </c>
      <c r="C88" s="311" t="str">
        <f>'adv shuffle'!V28</f>
        <v/>
      </c>
      <c r="D88" s="311"/>
      <c r="E88" s="311"/>
      <c r="F88" s="311"/>
      <c r="G88" s="311"/>
      <c r="H88" s="311"/>
      <c r="I88" s="311"/>
      <c r="J88" s="311"/>
      <c r="K88" s="311"/>
      <c r="L88" s="311"/>
      <c r="M88" s="311"/>
      <c r="N88" s="311"/>
      <c r="O88" s="311"/>
      <c r="P88" s="311"/>
      <c r="Q88" s="311"/>
      <c r="R88" s="311"/>
      <c r="S88" s="311"/>
      <c r="T88" s="311"/>
      <c r="U88" s="311"/>
      <c r="V88" s="311"/>
      <c r="W88" s="311"/>
      <c r="X88" s="311"/>
      <c r="Y88" s="162"/>
    </row>
    <row r="89" spans="1:25" ht="24.75" customHeight="1">
      <c r="A89" s="162"/>
      <c r="B89" s="193" t="str">
        <f>'adv shuffle'!U29</f>
        <v/>
      </c>
      <c r="C89" s="311" t="str">
        <f>'adv shuffle'!V29</f>
        <v/>
      </c>
      <c r="D89" s="311"/>
      <c r="E89" s="311"/>
      <c r="F89" s="311"/>
      <c r="G89" s="311"/>
      <c r="H89" s="311"/>
      <c r="I89" s="311"/>
      <c r="J89" s="311"/>
      <c r="K89" s="311"/>
      <c r="L89" s="311"/>
      <c r="M89" s="311"/>
      <c r="N89" s="311"/>
      <c r="O89" s="311"/>
      <c r="P89" s="311"/>
      <c r="Q89" s="311"/>
      <c r="R89" s="311"/>
      <c r="S89" s="311"/>
      <c r="T89" s="311"/>
      <c r="U89" s="311"/>
      <c r="V89" s="311"/>
      <c r="W89" s="311"/>
      <c r="X89" s="311"/>
      <c r="Y89" s="162"/>
    </row>
    <row r="90" spans="1:25" s="177" customFormat="1" ht="24.75" customHeight="1">
      <c r="A90" s="162"/>
      <c r="B90" s="193" t="str">
        <f>'adv shuffle'!U30</f>
        <v/>
      </c>
      <c r="C90" s="311" t="str">
        <f>'adv shuffle'!V30</f>
        <v/>
      </c>
      <c r="D90" s="311"/>
      <c r="E90" s="311"/>
      <c r="F90" s="311"/>
      <c r="G90" s="311"/>
      <c r="H90" s="311"/>
      <c r="I90" s="311"/>
      <c r="J90" s="311"/>
      <c r="K90" s="311"/>
      <c r="L90" s="311"/>
      <c r="M90" s="311"/>
      <c r="N90" s="311"/>
      <c r="O90" s="311"/>
      <c r="P90" s="311"/>
      <c r="Q90" s="311"/>
      <c r="R90" s="311"/>
      <c r="S90" s="311"/>
      <c r="T90" s="311"/>
      <c r="U90" s="311"/>
      <c r="V90" s="311"/>
      <c r="W90" s="311"/>
      <c r="X90" s="311"/>
      <c r="Y90" s="162"/>
    </row>
    <row r="91" spans="1:25" ht="24.75" customHeight="1">
      <c r="A91" s="162"/>
      <c r="B91" s="193" t="str">
        <f>'adv shuffle'!U31</f>
        <v/>
      </c>
      <c r="C91" s="311" t="str">
        <f>'adv shuffle'!V31</f>
        <v/>
      </c>
      <c r="D91" s="311"/>
      <c r="E91" s="311"/>
      <c r="F91" s="311"/>
      <c r="G91" s="311"/>
      <c r="H91" s="311"/>
      <c r="I91" s="311"/>
      <c r="J91" s="311"/>
      <c r="K91" s="311"/>
      <c r="L91" s="311"/>
      <c r="M91" s="311"/>
      <c r="N91" s="311"/>
      <c r="O91" s="311"/>
      <c r="P91" s="311"/>
      <c r="Q91" s="311"/>
      <c r="R91" s="311"/>
      <c r="S91" s="311"/>
      <c r="T91" s="311"/>
      <c r="U91" s="311"/>
      <c r="V91" s="311"/>
      <c r="W91" s="311"/>
      <c r="X91" s="311"/>
      <c r="Y91" s="162"/>
    </row>
    <row r="92" spans="1:25" ht="24.75" customHeight="1">
      <c r="A92" s="162"/>
      <c r="B92" s="193" t="str">
        <f>'adv shuffle'!U32</f>
        <v/>
      </c>
      <c r="C92" s="311" t="str">
        <f>'adv shuffle'!V32</f>
        <v/>
      </c>
      <c r="D92" s="311"/>
      <c r="E92" s="311"/>
      <c r="F92" s="311"/>
      <c r="G92" s="311"/>
      <c r="H92" s="311"/>
      <c r="I92" s="311"/>
      <c r="J92" s="311"/>
      <c r="K92" s="311"/>
      <c r="L92" s="311"/>
      <c r="M92" s="311"/>
      <c r="N92" s="311"/>
      <c r="O92" s="311"/>
      <c r="P92" s="311"/>
      <c r="Q92" s="311"/>
      <c r="R92" s="311"/>
      <c r="S92" s="311"/>
      <c r="T92" s="311"/>
      <c r="U92" s="311"/>
      <c r="V92" s="311"/>
      <c r="W92" s="311"/>
      <c r="X92" s="311"/>
      <c r="Y92" s="162"/>
    </row>
    <row r="93" spans="1:25" ht="24.75" customHeight="1">
      <c r="A93" s="162"/>
      <c r="B93" s="193" t="str">
        <f>'adv shuffle'!U33</f>
        <v/>
      </c>
      <c r="C93" s="311" t="str">
        <f>'adv shuffle'!V33</f>
        <v/>
      </c>
      <c r="D93" s="311"/>
      <c r="E93" s="311"/>
      <c r="F93" s="311"/>
      <c r="G93" s="311"/>
      <c r="H93" s="311"/>
      <c r="I93" s="311"/>
      <c r="J93" s="311"/>
      <c r="K93" s="311"/>
      <c r="L93" s="311"/>
      <c r="M93" s="311"/>
      <c r="N93" s="311"/>
      <c r="O93" s="311"/>
      <c r="P93" s="311"/>
      <c r="Q93" s="311"/>
      <c r="R93" s="311"/>
      <c r="S93" s="311"/>
      <c r="T93" s="311"/>
      <c r="U93" s="311"/>
      <c r="V93" s="311"/>
      <c r="W93" s="311"/>
      <c r="X93" s="311"/>
      <c r="Y93" s="162"/>
    </row>
    <row r="94" spans="1:25" ht="24.75" customHeight="1">
      <c r="A94" s="162"/>
      <c r="B94" s="193" t="str">
        <f>'adv shuffle'!U34</f>
        <v/>
      </c>
      <c r="C94" s="311" t="str">
        <f>'adv shuffle'!V34</f>
        <v/>
      </c>
      <c r="D94" s="311"/>
      <c r="E94" s="311"/>
      <c r="F94" s="311"/>
      <c r="G94" s="311"/>
      <c r="H94" s="311"/>
      <c r="I94" s="311"/>
      <c r="J94" s="311"/>
      <c r="K94" s="311"/>
      <c r="L94" s="311"/>
      <c r="M94" s="311"/>
      <c r="N94" s="311"/>
      <c r="O94" s="311"/>
      <c r="P94" s="311"/>
      <c r="Q94" s="311"/>
      <c r="R94" s="311"/>
      <c r="S94" s="311"/>
      <c r="T94" s="311"/>
      <c r="U94" s="311"/>
      <c r="V94" s="311"/>
      <c r="W94" s="311"/>
      <c r="X94" s="311"/>
      <c r="Y94" s="162"/>
    </row>
    <row r="95" spans="1:25" ht="24.75" customHeight="1">
      <c r="A95" s="162"/>
      <c r="B95" s="193" t="str">
        <f>'adv shuffle'!U35</f>
        <v/>
      </c>
      <c r="C95" s="311" t="str">
        <f>'adv shuffle'!V35</f>
        <v/>
      </c>
      <c r="D95" s="311"/>
      <c r="E95" s="311"/>
      <c r="F95" s="311"/>
      <c r="G95" s="311"/>
      <c r="H95" s="311"/>
      <c r="I95" s="311"/>
      <c r="J95" s="311"/>
      <c r="K95" s="311"/>
      <c r="L95" s="311"/>
      <c r="M95" s="311"/>
      <c r="N95" s="311"/>
      <c r="O95" s="311"/>
      <c r="P95" s="311"/>
      <c r="Q95" s="311"/>
      <c r="R95" s="311"/>
      <c r="S95" s="311"/>
      <c r="T95" s="311"/>
      <c r="U95" s="311"/>
      <c r="V95" s="311"/>
      <c r="W95" s="311"/>
      <c r="X95" s="311"/>
      <c r="Y95" s="162"/>
    </row>
    <row r="96" spans="1:25" ht="24.75" customHeight="1">
      <c r="A96" s="162"/>
      <c r="B96" s="193" t="str">
        <f>'adv shuffle'!U36</f>
        <v/>
      </c>
      <c r="C96" s="311" t="str">
        <f>'adv shuffle'!V36</f>
        <v/>
      </c>
      <c r="D96" s="311"/>
      <c r="E96" s="311"/>
      <c r="F96" s="311"/>
      <c r="G96" s="311"/>
      <c r="H96" s="311"/>
      <c r="I96" s="311"/>
      <c r="J96" s="311"/>
      <c r="K96" s="311"/>
      <c r="L96" s="311"/>
      <c r="M96" s="311"/>
      <c r="N96" s="311"/>
      <c r="O96" s="311"/>
      <c r="P96" s="311"/>
      <c r="Q96" s="311"/>
      <c r="R96" s="311"/>
      <c r="S96" s="311"/>
      <c r="T96" s="311"/>
      <c r="U96" s="311"/>
      <c r="V96" s="311"/>
      <c r="W96" s="311"/>
      <c r="X96" s="311"/>
      <c r="Y96" s="162"/>
    </row>
    <row r="97" spans="1:25" ht="24.75" customHeight="1">
      <c r="A97" s="162"/>
      <c r="B97" s="193" t="str">
        <f>'adv shuffle'!U37</f>
        <v/>
      </c>
      <c r="C97" s="311" t="str">
        <f>'adv shuffle'!V37</f>
        <v/>
      </c>
      <c r="D97" s="311"/>
      <c r="E97" s="311"/>
      <c r="F97" s="311"/>
      <c r="G97" s="311"/>
      <c r="H97" s="311"/>
      <c r="I97" s="311"/>
      <c r="J97" s="311"/>
      <c r="K97" s="311"/>
      <c r="L97" s="311"/>
      <c r="M97" s="311"/>
      <c r="N97" s="311"/>
      <c r="O97" s="311"/>
      <c r="P97" s="311"/>
      <c r="Q97" s="311"/>
      <c r="R97" s="311"/>
      <c r="S97" s="311"/>
      <c r="T97" s="311"/>
      <c r="U97" s="311"/>
      <c r="V97" s="311"/>
      <c r="W97" s="311"/>
      <c r="X97" s="311"/>
      <c r="Y97" s="162"/>
    </row>
    <row r="98" spans="1:25" ht="24.75" customHeight="1">
      <c r="A98" s="162"/>
      <c r="B98" s="193" t="str">
        <f>'adv shuffle'!U38</f>
        <v/>
      </c>
      <c r="C98" s="311" t="str">
        <f>'adv shuffle'!V38</f>
        <v/>
      </c>
      <c r="D98" s="311"/>
      <c r="E98" s="311"/>
      <c r="F98" s="311"/>
      <c r="G98" s="311"/>
      <c r="H98" s="311"/>
      <c r="I98" s="311"/>
      <c r="J98" s="311"/>
      <c r="K98" s="311"/>
      <c r="L98" s="311"/>
      <c r="M98" s="311"/>
      <c r="N98" s="311"/>
      <c r="O98" s="311"/>
      <c r="P98" s="311"/>
      <c r="Q98" s="311"/>
      <c r="R98" s="311"/>
      <c r="S98" s="311"/>
      <c r="T98" s="311"/>
      <c r="U98" s="311"/>
      <c r="V98" s="311"/>
      <c r="W98" s="311"/>
      <c r="X98" s="311"/>
      <c r="Y98" s="162"/>
    </row>
    <row r="99" spans="1:2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row>
  </sheetData>
  <mergeCells count="95">
    <mergeCell ref="C94:X94"/>
    <mergeCell ref="C95:X95"/>
    <mergeCell ref="C96:X96"/>
    <mergeCell ref="C97:X97"/>
    <mergeCell ref="C98:X98"/>
    <mergeCell ref="C84:X84"/>
    <mergeCell ref="C85:X85"/>
    <mergeCell ref="C70:X70"/>
    <mergeCell ref="C75:X75"/>
    <mergeCell ref="C76:X76"/>
    <mergeCell ref="C77:X77"/>
    <mergeCell ref="C78:X78"/>
    <mergeCell ref="C79:X79"/>
    <mergeCell ref="C80:X80"/>
    <mergeCell ref="C71:X71"/>
    <mergeCell ref="C72:X72"/>
    <mergeCell ref="C73:X73"/>
    <mergeCell ref="C74:X74"/>
    <mergeCell ref="C90:X90"/>
    <mergeCell ref="C91:X91"/>
    <mergeCell ref="C92:X92"/>
    <mergeCell ref="C93:X93"/>
    <mergeCell ref="C86:X86"/>
    <mergeCell ref="C87:X87"/>
    <mergeCell ref="C89:X89"/>
    <mergeCell ref="C88:X88"/>
    <mergeCell ref="E2:V2"/>
    <mergeCell ref="C81:X81"/>
    <mergeCell ref="C82:X82"/>
    <mergeCell ref="C83:X83"/>
    <mergeCell ref="B57:X57"/>
    <mergeCell ref="C59:X59"/>
    <mergeCell ref="C60:X60"/>
    <mergeCell ref="C62:X62"/>
    <mergeCell ref="C63:X63"/>
    <mergeCell ref="C64:X64"/>
    <mergeCell ref="C65:X65"/>
    <mergeCell ref="C66:X66"/>
    <mergeCell ref="C67:X67"/>
    <mergeCell ref="C68:X68"/>
    <mergeCell ref="C69:X69"/>
    <mergeCell ref="X41:X42"/>
    <mergeCell ref="X3:X5"/>
    <mergeCell ref="E13:J13"/>
    <mergeCell ref="C32:C34"/>
    <mergeCell ref="B25:B26"/>
    <mergeCell ref="C20:C21"/>
    <mergeCell ref="B32:B34"/>
    <mergeCell ref="B27:C31"/>
    <mergeCell ref="X6:X10"/>
    <mergeCell ref="E4:J4"/>
    <mergeCell ref="E7:J7"/>
    <mergeCell ref="E10:J10"/>
    <mergeCell ref="X11:X13"/>
    <mergeCell ref="B53:C53"/>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E41:V41"/>
    <mergeCell ref="B2:C2"/>
    <mergeCell ref="B23:C24"/>
    <mergeCell ref="B41:C41"/>
    <mergeCell ref="C4:C6"/>
    <mergeCell ref="C7:C9"/>
    <mergeCell ref="C10:C12"/>
    <mergeCell ref="C13:C14"/>
    <mergeCell ref="B4:B6"/>
    <mergeCell ref="B20:B21"/>
    <mergeCell ref="B13:B14"/>
    <mergeCell ref="B10:B12"/>
    <mergeCell ref="B7:B9"/>
    <mergeCell ref="B35:C39"/>
    <mergeCell ref="E39:V40"/>
    <mergeCell ref="X39:X40"/>
    <mergeCell ref="L27:P27"/>
    <mergeCell ref="B15:B16"/>
    <mergeCell ref="C15:C16"/>
    <mergeCell ref="C17:C19"/>
    <mergeCell ref="B17:B19"/>
    <mergeCell ref="X14:X17"/>
    <mergeCell ref="X21:X23"/>
    <mergeCell ref="L23:P23"/>
    <mergeCell ref="L21:P21"/>
    <mergeCell ref="E15:J15"/>
  </mergeCells>
  <conditionalFormatting sqref="M4:O4">
    <cfRule type="cellIs" dxfId="208" priority="426" operator="equal">
      <formula>1</formula>
    </cfRule>
  </conditionalFormatting>
  <conditionalFormatting sqref="I23">
    <cfRule type="cellIs" dxfId="207" priority="346" operator="equal">
      <formula>1</formula>
    </cfRule>
  </conditionalFormatting>
  <conditionalFormatting sqref="G35">
    <cfRule type="cellIs" dxfId="206" priority="356" operator="equal">
      <formula>1</formula>
    </cfRule>
  </conditionalFormatting>
  <conditionalFormatting sqref="H23">
    <cfRule type="cellIs" dxfId="205" priority="354" operator="equal">
      <formula>1</formula>
    </cfRule>
  </conditionalFormatting>
  <conditionalFormatting sqref="H27">
    <cfRule type="cellIs" dxfId="204" priority="352" operator="equal">
      <formula>1</formula>
    </cfRule>
  </conditionalFormatting>
  <conditionalFormatting sqref="H31">
    <cfRule type="cellIs" dxfId="203" priority="350" operator="equal">
      <formula>1</formula>
    </cfRule>
  </conditionalFormatting>
  <conditionalFormatting sqref="I27">
    <cfRule type="cellIs" dxfId="202" priority="344" operator="equal">
      <formula>1</formula>
    </cfRule>
  </conditionalFormatting>
  <conditionalFormatting sqref="I31">
    <cfRule type="cellIs" dxfId="201" priority="342" operator="equal">
      <formula>1</formula>
    </cfRule>
  </conditionalFormatting>
  <conditionalFormatting sqref="I35">
    <cfRule type="cellIs" dxfId="200" priority="340" operator="equal">
      <formula>1</formula>
    </cfRule>
  </conditionalFormatting>
  <conditionalFormatting sqref="N4">
    <cfRule type="cellIs" dxfId="199" priority="425" operator="equal">
      <formula>1</formula>
    </cfRule>
  </conditionalFormatting>
  <conditionalFormatting sqref="O4">
    <cfRule type="cellIs" dxfId="198" priority="424" operator="equal">
      <formula>1</formula>
    </cfRule>
  </conditionalFormatting>
  <conditionalFormatting sqref="F21">
    <cfRule type="cellIs" dxfId="197" priority="423" operator="equal">
      <formula>1</formula>
    </cfRule>
  </conditionalFormatting>
  <conditionalFormatting sqref="J29">
    <cfRule type="cellIs" dxfId="196" priority="335" operator="equal">
      <formula>1</formula>
    </cfRule>
  </conditionalFormatting>
  <conditionalFormatting sqref="J21">
    <cfRule type="cellIs" dxfId="195" priority="339" operator="equal">
      <formula>1</formula>
    </cfRule>
  </conditionalFormatting>
  <conditionalFormatting sqref="I29">
    <cfRule type="cellIs" dxfId="194" priority="343" operator="equal">
      <formula>1</formula>
    </cfRule>
  </conditionalFormatting>
  <conditionalFormatting sqref="M7">
    <cfRule type="cellIs" dxfId="193" priority="422" operator="equal">
      <formula>1</formula>
    </cfRule>
  </conditionalFormatting>
  <conditionalFormatting sqref="I33">
    <cfRule type="cellIs" dxfId="192" priority="341" operator="equal">
      <formula>1</formula>
    </cfRule>
  </conditionalFormatting>
  <conditionalFormatting sqref="M10">
    <cfRule type="cellIs" dxfId="191" priority="421" operator="equal">
      <formula>1</formula>
    </cfRule>
  </conditionalFormatting>
  <conditionalFormatting sqref="M13">
    <cfRule type="cellIs" dxfId="190" priority="420" operator="equal">
      <formula>1</formula>
    </cfRule>
  </conditionalFormatting>
  <conditionalFormatting sqref="M15">
    <cfRule type="cellIs" dxfId="189" priority="419" operator="equal">
      <formula>1</formula>
    </cfRule>
  </conditionalFormatting>
  <conditionalFormatting sqref="N7">
    <cfRule type="cellIs" dxfId="188" priority="418" operator="equal">
      <formula>1</formula>
    </cfRule>
  </conditionalFormatting>
  <conditionalFormatting sqref="O7">
    <cfRule type="cellIs" dxfId="187" priority="417" operator="equal">
      <formula>1</formula>
    </cfRule>
  </conditionalFormatting>
  <conditionalFormatting sqref="N10">
    <cfRule type="cellIs" dxfId="186" priority="416" operator="equal">
      <formula>1</formula>
    </cfRule>
  </conditionalFormatting>
  <conditionalFormatting sqref="O10">
    <cfRule type="cellIs" dxfId="185" priority="415" operator="equal">
      <formula>1</formula>
    </cfRule>
  </conditionalFormatting>
  <conditionalFormatting sqref="N13">
    <cfRule type="cellIs" dxfId="184" priority="414" operator="equal">
      <formula>1</formula>
    </cfRule>
  </conditionalFormatting>
  <conditionalFormatting sqref="O13">
    <cfRule type="cellIs" dxfId="183" priority="413" operator="equal">
      <formula>1</formula>
    </cfRule>
  </conditionalFormatting>
  <conditionalFormatting sqref="N15">
    <cfRule type="cellIs" dxfId="182" priority="412" operator="equal">
      <formula>1</formula>
    </cfRule>
  </conditionalFormatting>
  <conditionalFormatting sqref="O15">
    <cfRule type="cellIs" dxfId="181" priority="411" operator="equal">
      <formula>1</formula>
    </cfRule>
  </conditionalFormatting>
  <conditionalFormatting sqref="F23">
    <cfRule type="cellIs" dxfId="180" priority="410" operator="equal">
      <formula>1</formula>
    </cfRule>
  </conditionalFormatting>
  <conditionalFormatting sqref="F25">
    <cfRule type="cellIs" dxfId="179" priority="409" operator="equal">
      <formula>1</formula>
    </cfRule>
  </conditionalFormatting>
  <conditionalFormatting sqref="F27">
    <cfRule type="cellIs" dxfId="178" priority="408" operator="equal">
      <formula>1</formula>
    </cfRule>
  </conditionalFormatting>
  <conditionalFormatting sqref="F29">
    <cfRule type="cellIs" dxfId="177" priority="407" operator="equal">
      <formula>1</formula>
    </cfRule>
  </conditionalFormatting>
  <conditionalFormatting sqref="F31">
    <cfRule type="cellIs" dxfId="176" priority="406" operator="equal">
      <formula>1</formula>
    </cfRule>
  </conditionalFormatting>
  <conditionalFormatting sqref="F33">
    <cfRule type="cellIs" dxfId="175" priority="405" operator="equal">
      <formula>1</formula>
    </cfRule>
  </conditionalFormatting>
  <conditionalFormatting sqref="F35">
    <cfRule type="cellIs" dxfId="174" priority="404" operator="equal">
      <formula>1</formula>
    </cfRule>
  </conditionalFormatting>
  <conditionalFormatting sqref="H35">
    <cfRule type="cellIs" dxfId="173" priority="348" operator="equal">
      <formula>1</formula>
    </cfRule>
  </conditionalFormatting>
  <conditionalFormatting sqref="J23">
    <cfRule type="cellIs" dxfId="172" priority="338" operator="equal">
      <formula>1</formula>
    </cfRule>
  </conditionalFormatting>
  <conditionalFormatting sqref="J27">
    <cfRule type="cellIs" dxfId="171" priority="336" operator="equal">
      <formula>1</formula>
    </cfRule>
  </conditionalFormatting>
  <conditionalFormatting sqref="T29">
    <cfRule type="cellIs" dxfId="170" priority="375" operator="equal">
      <formula>1</formula>
    </cfRule>
  </conditionalFormatting>
  <conditionalFormatting sqref="S31">
    <cfRule type="cellIs" dxfId="169" priority="382" operator="equal">
      <formula>1</formula>
    </cfRule>
  </conditionalFormatting>
  <conditionalFormatting sqref="R33">
    <cfRule type="cellIs" dxfId="168" priority="389" operator="equal">
      <formula>1</formula>
    </cfRule>
  </conditionalFormatting>
  <conditionalFormatting sqref="Q21">
    <cfRule type="cellIs" dxfId="167" priority="403" operator="equal">
      <formula>1</formula>
    </cfRule>
  </conditionalFormatting>
  <conditionalFormatting sqref="Q23">
    <cfRule type="cellIs" dxfId="166" priority="402" operator="equal">
      <formula>1</formula>
    </cfRule>
  </conditionalFormatting>
  <conditionalFormatting sqref="Q25">
    <cfRule type="cellIs" dxfId="165" priority="401" operator="equal">
      <formula>1</formula>
    </cfRule>
  </conditionalFormatting>
  <conditionalFormatting sqref="Q27">
    <cfRule type="cellIs" dxfId="164" priority="400" operator="equal">
      <formula>1</formula>
    </cfRule>
  </conditionalFormatting>
  <conditionalFormatting sqref="Q29">
    <cfRule type="cellIs" dxfId="163" priority="399" operator="equal">
      <formula>1</formula>
    </cfRule>
  </conditionalFormatting>
  <conditionalFormatting sqref="Q31">
    <cfRule type="cellIs" dxfId="162" priority="398" operator="equal">
      <formula>1</formula>
    </cfRule>
  </conditionalFormatting>
  <conditionalFormatting sqref="Q33">
    <cfRule type="cellIs" dxfId="161" priority="397" operator="equal">
      <formula>1</formula>
    </cfRule>
  </conditionalFormatting>
  <conditionalFormatting sqref="R21">
    <cfRule type="cellIs" dxfId="160" priority="395" operator="equal">
      <formula>1</formula>
    </cfRule>
  </conditionalFormatting>
  <conditionalFormatting sqref="R23">
    <cfRule type="cellIs" dxfId="159" priority="394" operator="equal">
      <formula>1</formula>
    </cfRule>
  </conditionalFormatting>
  <conditionalFormatting sqref="R25">
    <cfRule type="cellIs" dxfId="158" priority="393" operator="equal">
      <formula>1</formula>
    </cfRule>
  </conditionalFormatting>
  <conditionalFormatting sqref="R27">
    <cfRule type="cellIs" dxfId="157" priority="392" operator="equal">
      <formula>1</formula>
    </cfRule>
  </conditionalFormatting>
  <conditionalFormatting sqref="R29">
    <cfRule type="cellIs" dxfId="156" priority="391" operator="equal">
      <formula>1</formula>
    </cfRule>
  </conditionalFormatting>
  <conditionalFormatting sqref="R31">
    <cfRule type="cellIs" dxfId="155" priority="390" operator="equal">
      <formula>1</formula>
    </cfRule>
  </conditionalFormatting>
  <conditionalFormatting sqref="R35">
    <cfRule type="cellIs" dxfId="154" priority="388" operator="equal">
      <formula>1</formula>
    </cfRule>
  </conditionalFormatting>
  <conditionalFormatting sqref="S21">
    <cfRule type="cellIs" dxfId="153" priority="387" operator="equal">
      <formula>1</formula>
    </cfRule>
  </conditionalFormatting>
  <conditionalFormatting sqref="S23">
    <cfRule type="cellIs" dxfId="152" priority="386" operator="equal">
      <formula>1</formula>
    </cfRule>
  </conditionalFormatting>
  <conditionalFormatting sqref="S25">
    <cfRule type="cellIs" dxfId="151" priority="385" operator="equal">
      <formula>1</formula>
    </cfRule>
  </conditionalFormatting>
  <conditionalFormatting sqref="S27">
    <cfRule type="cellIs" dxfId="150" priority="384" operator="equal">
      <formula>1</formula>
    </cfRule>
  </conditionalFormatting>
  <conditionalFormatting sqref="S29">
    <cfRule type="cellIs" dxfId="149" priority="383" operator="equal">
      <formula>1</formula>
    </cfRule>
  </conditionalFormatting>
  <conditionalFormatting sqref="S33">
    <cfRule type="cellIs" dxfId="148" priority="381" operator="equal">
      <formula>1</formula>
    </cfRule>
  </conditionalFormatting>
  <conditionalFormatting sqref="S35">
    <cfRule type="cellIs" dxfId="147" priority="380" operator="equal">
      <formula>1</formula>
    </cfRule>
  </conditionalFormatting>
  <conditionalFormatting sqref="T21">
    <cfRule type="cellIs" dxfId="146" priority="379" operator="equal">
      <formula>1</formula>
    </cfRule>
  </conditionalFormatting>
  <conditionalFormatting sqref="T23">
    <cfRule type="cellIs" dxfId="145" priority="378" operator="equal">
      <formula>1</formula>
    </cfRule>
  </conditionalFormatting>
  <conditionalFormatting sqref="T25">
    <cfRule type="cellIs" dxfId="144" priority="377" operator="equal">
      <formula>1</formula>
    </cfRule>
  </conditionalFormatting>
  <conditionalFormatting sqref="T27">
    <cfRule type="cellIs" dxfId="143" priority="376" operator="equal">
      <formula>1</formula>
    </cfRule>
  </conditionalFormatting>
  <conditionalFormatting sqref="T31">
    <cfRule type="cellIs" dxfId="142" priority="374" operator="equal">
      <formula>1</formula>
    </cfRule>
  </conditionalFormatting>
  <conditionalFormatting sqref="T33">
    <cfRule type="cellIs" dxfId="141" priority="373" operator="equal">
      <formula>1</formula>
    </cfRule>
  </conditionalFormatting>
  <conditionalFormatting sqref="T35">
    <cfRule type="cellIs" dxfId="140" priority="372" operator="equal">
      <formula>1</formula>
    </cfRule>
  </conditionalFormatting>
  <conditionalFormatting sqref="U21">
    <cfRule type="cellIs" dxfId="139" priority="371" operator="equal">
      <formula>1</formula>
    </cfRule>
  </conditionalFormatting>
  <conditionalFormatting sqref="U23">
    <cfRule type="cellIs" dxfId="138" priority="370" operator="equal">
      <formula>1</formula>
    </cfRule>
  </conditionalFormatting>
  <conditionalFormatting sqref="U25">
    <cfRule type="cellIs" dxfId="137" priority="369" operator="equal">
      <formula>1</formula>
    </cfRule>
  </conditionalFormatting>
  <conditionalFormatting sqref="U27">
    <cfRule type="cellIs" dxfId="136" priority="368" operator="equal">
      <formula>1</formula>
    </cfRule>
  </conditionalFormatting>
  <conditionalFormatting sqref="U29">
    <cfRule type="cellIs" dxfId="135" priority="367" operator="equal">
      <formula>1</formula>
    </cfRule>
  </conditionalFormatting>
  <conditionalFormatting sqref="U31">
    <cfRule type="cellIs" dxfId="134" priority="366" operator="equal">
      <formula>1</formula>
    </cfRule>
  </conditionalFormatting>
  <conditionalFormatting sqref="U33">
    <cfRule type="cellIs" dxfId="133" priority="365" operator="equal">
      <formula>1</formula>
    </cfRule>
  </conditionalFormatting>
  <conditionalFormatting sqref="U35">
    <cfRule type="cellIs" dxfId="132" priority="364" operator="equal">
      <formula>1</formula>
    </cfRule>
  </conditionalFormatting>
  <conditionalFormatting sqref="G21">
    <cfRule type="cellIs" dxfId="131" priority="363" operator="equal">
      <formula>1</formula>
    </cfRule>
  </conditionalFormatting>
  <conditionalFormatting sqref="G23">
    <cfRule type="cellIs" dxfId="130" priority="362" operator="equal">
      <formula>1</formula>
    </cfRule>
  </conditionalFormatting>
  <conditionalFormatting sqref="G25">
    <cfRule type="cellIs" dxfId="129" priority="361" operator="equal">
      <formula>1</formula>
    </cfRule>
  </conditionalFormatting>
  <conditionalFormatting sqref="G27">
    <cfRule type="cellIs" dxfId="128" priority="360" operator="equal">
      <formula>1</formula>
    </cfRule>
  </conditionalFormatting>
  <conditionalFormatting sqref="G29">
    <cfRule type="cellIs" dxfId="127" priority="359" operator="equal">
      <formula>1</formula>
    </cfRule>
  </conditionalFormatting>
  <conditionalFormatting sqref="G31">
    <cfRule type="cellIs" dxfId="126" priority="358" operator="equal">
      <formula>1</formula>
    </cfRule>
  </conditionalFormatting>
  <conditionalFormatting sqref="G33">
    <cfRule type="cellIs" dxfId="125" priority="357" operator="equal">
      <formula>1</formula>
    </cfRule>
  </conditionalFormatting>
  <conditionalFormatting sqref="H21">
    <cfRule type="cellIs" dxfId="124" priority="355" operator="equal">
      <formula>1</formula>
    </cfRule>
  </conditionalFormatting>
  <conditionalFormatting sqref="H25">
    <cfRule type="cellIs" dxfId="123" priority="353" operator="equal">
      <formula>1</formula>
    </cfRule>
  </conditionalFormatting>
  <conditionalFormatting sqref="H29">
    <cfRule type="cellIs" dxfId="122" priority="351" operator="equal">
      <formula>1</formula>
    </cfRule>
  </conditionalFormatting>
  <conditionalFormatting sqref="H33">
    <cfRule type="cellIs" dxfId="121" priority="349" operator="equal">
      <formula>1</formula>
    </cfRule>
  </conditionalFormatting>
  <conditionalFormatting sqref="I21">
    <cfRule type="cellIs" dxfId="120" priority="347" operator="equal">
      <formula>1</formula>
    </cfRule>
  </conditionalFormatting>
  <conditionalFormatting sqref="I25">
    <cfRule type="cellIs" dxfId="119" priority="345" operator="equal">
      <formula>1</formula>
    </cfRule>
  </conditionalFormatting>
  <conditionalFormatting sqref="J25">
    <cfRule type="cellIs" dxfId="118" priority="337" operator="equal">
      <formula>1</formula>
    </cfRule>
  </conditionalFormatting>
  <conditionalFormatting sqref="J31">
    <cfRule type="cellIs" dxfId="117" priority="334" operator="equal">
      <formula>1</formula>
    </cfRule>
  </conditionalFormatting>
  <conditionalFormatting sqref="J33">
    <cfRule type="cellIs" dxfId="116" priority="333" operator="equal">
      <formula>1</formula>
    </cfRule>
  </conditionalFormatting>
  <conditionalFormatting sqref="J35">
    <cfRule type="cellIs" dxfId="115" priority="332"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14" priority="331" operator="equal">
      <formula>0</formula>
    </cfRule>
  </conditionalFormatting>
  <conditionalFormatting sqref="B41:B42">
    <cfRule type="cellIs" dxfId="113" priority="327" operator="equal">
      <formula>0</formula>
    </cfRule>
  </conditionalFormatting>
  <conditionalFormatting sqref="E43">
    <cfRule type="cellIs" dxfId="112" priority="326" operator="equal">
      <formula>0</formula>
    </cfRule>
  </conditionalFormatting>
  <conditionalFormatting sqref="L23">
    <cfRule type="cellIs" dxfId="111" priority="313" operator="equal">
      <formula>0</formula>
    </cfRule>
  </conditionalFormatting>
  <conditionalFormatting sqref="E4">
    <cfRule type="cellIs" dxfId="110" priority="321" operator="equal">
      <formula>0</formula>
    </cfRule>
  </conditionalFormatting>
  <conditionalFormatting sqref="E7">
    <cfRule type="cellIs" dxfId="109" priority="320" operator="equal">
      <formula>0</formula>
    </cfRule>
  </conditionalFormatting>
  <conditionalFormatting sqref="E10">
    <cfRule type="cellIs" dxfId="108" priority="319" operator="equal">
      <formula>0</formula>
    </cfRule>
  </conditionalFormatting>
  <conditionalFormatting sqref="E13">
    <cfRule type="cellIs" dxfId="107" priority="318" operator="equal">
      <formula>0</formula>
    </cfRule>
  </conditionalFormatting>
  <conditionalFormatting sqref="E15">
    <cfRule type="cellIs" dxfId="106" priority="317" operator="equal">
      <formula>0</formula>
    </cfRule>
  </conditionalFormatting>
  <conditionalFormatting sqref="L29">
    <cfRule type="cellIs" dxfId="105" priority="316" operator="equal">
      <formula>0</formula>
    </cfRule>
  </conditionalFormatting>
  <conditionalFormatting sqref="L27">
    <cfRule type="cellIs" dxfId="104" priority="315" operator="equal">
      <formula>0</formula>
    </cfRule>
  </conditionalFormatting>
  <conditionalFormatting sqref="L25">
    <cfRule type="cellIs" dxfId="103" priority="314" operator="equal">
      <formula>0</formula>
    </cfRule>
  </conditionalFormatting>
  <conditionalFormatting sqref="L21">
    <cfRule type="cellIs" dxfId="102" priority="312" operator="equal">
      <formula>0</formula>
    </cfRule>
  </conditionalFormatting>
  <conditionalFormatting sqref="L31">
    <cfRule type="cellIs" dxfId="101" priority="311" operator="equal">
      <formula>0</formula>
    </cfRule>
  </conditionalFormatting>
  <conditionalFormatting sqref="L33">
    <cfRule type="cellIs" dxfId="100" priority="310" operator="equal">
      <formula>0</formula>
    </cfRule>
  </conditionalFormatting>
  <conditionalFormatting sqref="L35">
    <cfRule type="cellIs" dxfId="99" priority="309" operator="equal">
      <formula>0</formula>
    </cfRule>
  </conditionalFormatting>
  <conditionalFormatting sqref="X14:X17">
    <cfRule type="cellIs" dxfId="98" priority="302" operator="equal">
      <formula>0</formula>
    </cfRule>
  </conditionalFormatting>
  <conditionalFormatting sqref="X21:X36 X41 X43:X49">
    <cfRule type="cellIs" dxfId="97" priority="301" operator="equal">
      <formula>0</formula>
    </cfRule>
  </conditionalFormatting>
  <conditionalFormatting sqref="C32">
    <cfRule type="cellIs" dxfId="96" priority="306" operator="equal">
      <formula>0</formula>
    </cfRule>
  </conditionalFormatting>
  <conditionalFormatting sqref="B53">
    <cfRule type="cellIs" dxfId="95" priority="303" operator="equal">
      <formula>0</formula>
    </cfRule>
  </conditionalFormatting>
  <conditionalFormatting sqref="F27">
    <cfRule type="cellIs" dxfId="94" priority="300" operator="equal">
      <formula>1</formula>
    </cfRule>
  </conditionalFormatting>
  <conditionalFormatting sqref="G27">
    <cfRule type="cellIs" dxfId="93" priority="299" operator="equal">
      <formula>1</formula>
    </cfRule>
  </conditionalFormatting>
  <conditionalFormatting sqref="H27">
    <cfRule type="cellIs" dxfId="92" priority="298" operator="equal">
      <formula>1</formula>
    </cfRule>
  </conditionalFormatting>
  <conditionalFormatting sqref="I27">
    <cfRule type="cellIs" dxfId="91" priority="297" operator="equal">
      <formula>1</formula>
    </cfRule>
  </conditionalFormatting>
  <conditionalFormatting sqref="J27">
    <cfRule type="cellIs" dxfId="90" priority="296" operator="equal">
      <formula>1</formula>
    </cfRule>
  </conditionalFormatting>
  <conditionalFormatting sqref="F29">
    <cfRule type="cellIs" dxfId="89" priority="295" operator="equal">
      <formula>1</formula>
    </cfRule>
  </conditionalFormatting>
  <conditionalFormatting sqref="G29">
    <cfRule type="cellIs" dxfId="88" priority="294" operator="equal">
      <formula>1</formula>
    </cfRule>
  </conditionalFormatting>
  <conditionalFormatting sqref="H29">
    <cfRule type="cellIs" dxfId="87" priority="293" operator="equal">
      <formula>1</formula>
    </cfRule>
  </conditionalFormatting>
  <conditionalFormatting sqref="I29">
    <cfRule type="cellIs" dxfId="86" priority="292" operator="equal">
      <formula>1</formula>
    </cfRule>
  </conditionalFormatting>
  <conditionalFormatting sqref="J29">
    <cfRule type="cellIs" dxfId="85" priority="291" operator="equal">
      <formula>1</formula>
    </cfRule>
  </conditionalFormatting>
  <conditionalFormatting sqref="F31">
    <cfRule type="cellIs" dxfId="84" priority="290" operator="equal">
      <formula>1</formula>
    </cfRule>
  </conditionalFormatting>
  <conditionalFormatting sqref="G31">
    <cfRule type="cellIs" dxfId="83" priority="289" operator="equal">
      <formula>1</formula>
    </cfRule>
  </conditionalFormatting>
  <conditionalFormatting sqref="H31">
    <cfRule type="cellIs" dxfId="82" priority="288" operator="equal">
      <formula>1</formula>
    </cfRule>
  </conditionalFormatting>
  <conditionalFormatting sqref="I31">
    <cfRule type="cellIs" dxfId="81" priority="287" operator="equal">
      <formula>1</formula>
    </cfRule>
  </conditionalFormatting>
  <conditionalFormatting sqref="J31">
    <cfRule type="cellIs" dxfId="80" priority="286" operator="equal">
      <formula>1</formula>
    </cfRule>
  </conditionalFormatting>
  <conditionalFormatting sqref="F27">
    <cfRule type="cellIs" dxfId="79" priority="285" operator="equal">
      <formula>1</formula>
    </cfRule>
  </conditionalFormatting>
  <conditionalFormatting sqref="G27">
    <cfRule type="cellIs" dxfId="78" priority="284" operator="equal">
      <formula>1</formula>
    </cfRule>
  </conditionalFormatting>
  <conditionalFormatting sqref="H27">
    <cfRule type="cellIs" dxfId="77" priority="283" operator="equal">
      <formula>1</formula>
    </cfRule>
  </conditionalFormatting>
  <conditionalFormatting sqref="I27">
    <cfRule type="cellIs" dxfId="76" priority="282" operator="equal">
      <formula>1</formula>
    </cfRule>
  </conditionalFormatting>
  <conditionalFormatting sqref="J27">
    <cfRule type="cellIs" dxfId="75" priority="281" operator="equal">
      <formula>1</formula>
    </cfRule>
  </conditionalFormatting>
  <conditionalFormatting sqref="F29">
    <cfRule type="cellIs" dxfId="74" priority="280" operator="equal">
      <formula>1</formula>
    </cfRule>
  </conditionalFormatting>
  <conditionalFormatting sqref="G29">
    <cfRule type="cellIs" dxfId="73" priority="279" operator="equal">
      <formula>1</formula>
    </cfRule>
  </conditionalFormatting>
  <conditionalFormatting sqref="H29">
    <cfRule type="cellIs" dxfId="72" priority="278" operator="equal">
      <formula>1</formula>
    </cfRule>
  </conditionalFormatting>
  <conditionalFormatting sqref="I29">
    <cfRule type="cellIs" dxfId="71" priority="277" operator="equal">
      <formula>1</formula>
    </cfRule>
  </conditionalFormatting>
  <conditionalFormatting sqref="J29">
    <cfRule type="cellIs" dxfId="70" priority="276" operator="equal">
      <formula>1</formula>
    </cfRule>
  </conditionalFormatting>
  <conditionalFormatting sqref="F31">
    <cfRule type="cellIs" dxfId="69" priority="275" operator="equal">
      <formula>1</formula>
    </cfRule>
  </conditionalFormatting>
  <conditionalFormatting sqref="G31">
    <cfRule type="cellIs" dxfId="68" priority="274" operator="equal">
      <formula>1</formula>
    </cfRule>
  </conditionalFormatting>
  <conditionalFormatting sqref="H31">
    <cfRule type="cellIs" dxfId="67" priority="273" operator="equal">
      <formula>1</formula>
    </cfRule>
  </conditionalFormatting>
  <conditionalFormatting sqref="I31">
    <cfRule type="cellIs" dxfId="66" priority="272" operator="equal">
      <formula>1</formula>
    </cfRule>
  </conditionalFormatting>
  <conditionalFormatting sqref="J31">
    <cfRule type="cellIs" dxfId="65" priority="271" operator="equal">
      <formula>1</formula>
    </cfRule>
  </conditionalFormatting>
  <conditionalFormatting sqref="F33">
    <cfRule type="cellIs" dxfId="64" priority="270" operator="equal">
      <formula>1</formula>
    </cfRule>
  </conditionalFormatting>
  <conditionalFormatting sqref="G33">
    <cfRule type="cellIs" dxfId="63" priority="269" operator="equal">
      <formula>1</formula>
    </cfRule>
  </conditionalFormatting>
  <conditionalFormatting sqref="H33">
    <cfRule type="cellIs" dxfId="62" priority="268" operator="equal">
      <formula>1</formula>
    </cfRule>
  </conditionalFormatting>
  <conditionalFormatting sqref="I33">
    <cfRule type="cellIs" dxfId="61" priority="267" operator="equal">
      <formula>1</formula>
    </cfRule>
  </conditionalFormatting>
  <conditionalFormatting sqref="J33">
    <cfRule type="cellIs" dxfId="60" priority="266" operator="equal">
      <formula>1</formula>
    </cfRule>
  </conditionalFormatting>
  <conditionalFormatting sqref="F35">
    <cfRule type="cellIs" dxfId="59" priority="265" operator="equal">
      <formula>1</formula>
    </cfRule>
  </conditionalFormatting>
  <conditionalFormatting sqref="G35">
    <cfRule type="cellIs" dxfId="58" priority="264" operator="equal">
      <formula>1</formula>
    </cfRule>
  </conditionalFormatting>
  <conditionalFormatting sqref="H35">
    <cfRule type="cellIs" dxfId="57" priority="263" operator="equal">
      <formula>1</formula>
    </cfRule>
  </conditionalFormatting>
  <conditionalFormatting sqref="I35">
    <cfRule type="cellIs" dxfId="56" priority="262" operator="equal">
      <formula>1</formula>
    </cfRule>
  </conditionalFormatting>
  <conditionalFormatting sqref="J35">
    <cfRule type="cellIs" dxfId="55" priority="261" operator="equal">
      <formula>1</formula>
    </cfRule>
  </conditionalFormatting>
  <conditionalFormatting sqref="F23">
    <cfRule type="cellIs" dxfId="54" priority="260" operator="equal">
      <formula>1</formula>
    </cfRule>
  </conditionalFormatting>
  <conditionalFormatting sqref="G23">
    <cfRule type="cellIs" dxfId="53" priority="259" operator="equal">
      <formula>1</formula>
    </cfRule>
  </conditionalFormatting>
  <conditionalFormatting sqref="H23">
    <cfRule type="cellIs" dxfId="52" priority="258" operator="equal">
      <formula>1</formula>
    </cfRule>
  </conditionalFormatting>
  <conditionalFormatting sqref="I23">
    <cfRule type="cellIs" dxfId="51" priority="257" operator="equal">
      <formula>1</formula>
    </cfRule>
  </conditionalFormatting>
  <conditionalFormatting sqref="J23">
    <cfRule type="cellIs" dxfId="50" priority="256" operator="equal">
      <formula>1</formula>
    </cfRule>
  </conditionalFormatting>
  <conditionalFormatting sqref="F21">
    <cfRule type="cellIs" dxfId="49" priority="255" operator="equal">
      <formula>1</formula>
    </cfRule>
  </conditionalFormatting>
  <conditionalFormatting sqref="G21">
    <cfRule type="cellIs" dxfId="48" priority="254" operator="equal">
      <formula>1</formula>
    </cfRule>
  </conditionalFormatting>
  <conditionalFormatting sqref="H21">
    <cfRule type="cellIs" dxfId="47" priority="253" operator="equal">
      <formula>1</formula>
    </cfRule>
  </conditionalFormatting>
  <conditionalFormatting sqref="I21">
    <cfRule type="cellIs" dxfId="46" priority="252" operator="equal">
      <formula>1</formula>
    </cfRule>
  </conditionalFormatting>
  <conditionalFormatting sqref="J21">
    <cfRule type="cellIs" dxfId="45" priority="251" operator="equal">
      <formula>1</formula>
    </cfRule>
  </conditionalFormatting>
  <conditionalFormatting sqref="Q21">
    <cfRule type="cellIs" dxfId="44" priority="250" operator="equal">
      <formula>1</formula>
    </cfRule>
  </conditionalFormatting>
  <conditionalFormatting sqref="R21">
    <cfRule type="cellIs" dxfId="43" priority="249" operator="equal">
      <formula>1</formula>
    </cfRule>
  </conditionalFormatting>
  <conditionalFormatting sqref="S21">
    <cfRule type="cellIs" dxfId="42" priority="248" operator="equal">
      <formula>1</formula>
    </cfRule>
  </conditionalFormatting>
  <conditionalFormatting sqref="T21">
    <cfRule type="cellIs" dxfId="41" priority="247" operator="equal">
      <formula>1</formula>
    </cfRule>
  </conditionalFormatting>
  <conditionalFormatting sqref="U21">
    <cfRule type="cellIs" dxfId="40" priority="246" operator="equal">
      <formula>1</formula>
    </cfRule>
  </conditionalFormatting>
  <conditionalFormatting sqref="Q23">
    <cfRule type="cellIs" dxfId="39" priority="245" operator="equal">
      <formula>1</formula>
    </cfRule>
  </conditionalFormatting>
  <conditionalFormatting sqref="R23">
    <cfRule type="cellIs" dxfId="38" priority="244" operator="equal">
      <formula>1</formula>
    </cfRule>
  </conditionalFormatting>
  <conditionalFormatting sqref="S23">
    <cfRule type="cellIs" dxfId="37" priority="243" operator="equal">
      <formula>1</formula>
    </cfRule>
  </conditionalFormatting>
  <conditionalFormatting sqref="T23">
    <cfRule type="cellIs" dxfId="36" priority="242" operator="equal">
      <formula>1</formula>
    </cfRule>
  </conditionalFormatting>
  <conditionalFormatting sqref="U23">
    <cfRule type="cellIs" dxfId="35" priority="241" operator="equal">
      <formula>1</formula>
    </cfRule>
  </conditionalFormatting>
  <conditionalFormatting sqref="Q25">
    <cfRule type="cellIs" dxfId="34" priority="240" operator="equal">
      <formula>1</formula>
    </cfRule>
  </conditionalFormatting>
  <conditionalFormatting sqref="R25">
    <cfRule type="cellIs" dxfId="33" priority="239" operator="equal">
      <formula>1</formula>
    </cfRule>
  </conditionalFormatting>
  <conditionalFormatting sqref="S25">
    <cfRule type="cellIs" dxfId="32" priority="238" operator="equal">
      <formula>1</formula>
    </cfRule>
  </conditionalFormatting>
  <conditionalFormatting sqref="T25">
    <cfRule type="cellIs" dxfId="31" priority="237" operator="equal">
      <formula>1</formula>
    </cfRule>
  </conditionalFormatting>
  <conditionalFormatting sqref="U25">
    <cfRule type="cellIs" dxfId="30" priority="236" operator="equal">
      <formula>1</formula>
    </cfRule>
  </conditionalFormatting>
  <conditionalFormatting sqref="Q27">
    <cfRule type="cellIs" dxfId="29" priority="235" operator="equal">
      <formula>1</formula>
    </cfRule>
  </conditionalFormatting>
  <conditionalFormatting sqref="R27">
    <cfRule type="cellIs" dxfId="28" priority="234" operator="equal">
      <formula>1</formula>
    </cfRule>
  </conditionalFormatting>
  <conditionalFormatting sqref="S27">
    <cfRule type="cellIs" dxfId="27" priority="233" operator="equal">
      <formula>1</formula>
    </cfRule>
  </conditionalFormatting>
  <conditionalFormatting sqref="T27">
    <cfRule type="cellIs" dxfId="26" priority="232" operator="equal">
      <formula>1</formula>
    </cfRule>
  </conditionalFormatting>
  <conditionalFormatting sqref="U27">
    <cfRule type="cellIs" dxfId="25" priority="231" operator="equal">
      <formula>1</formula>
    </cfRule>
  </conditionalFormatting>
  <conditionalFormatting sqref="Q29">
    <cfRule type="cellIs" dxfId="24" priority="230" operator="equal">
      <formula>1</formula>
    </cfRule>
  </conditionalFormatting>
  <conditionalFormatting sqref="R29">
    <cfRule type="cellIs" dxfId="23" priority="229" operator="equal">
      <formula>1</formula>
    </cfRule>
  </conditionalFormatting>
  <conditionalFormatting sqref="S29">
    <cfRule type="cellIs" dxfId="22" priority="228" operator="equal">
      <formula>1</formula>
    </cfRule>
  </conditionalFormatting>
  <conditionalFormatting sqref="T29">
    <cfRule type="cellIs" dxfId="21" priority="227" operator="equal">
      <formula>1</formula>
    </cfRule>
  </conditionalFormatting>
  <conditionalFormatting sqref="U29">
    <cfRule type="cellIs" dxfId="20" priority="226" operator="equal">
      <formula>1</formula>
    </cfRule>
  </conditionalFormatting>
  <conditionalFormatting sqref="Q31">
    <cfRule type="cellIs" dxfId="19" priority="225" operator="equal">
      <formula>1</formula>
    </cfRule>
  </conditionalFormatting>
  <conditionalFormatting sqref="R31">
    <cfRule type="cellIs" dxfId="18" priority="224" operator="equal">
      <formula>1</formula>
    </cfRule>
  </conditionalFormatting>
  <conditionalFormatting sqref="S31">
    <cfRule type="cellIs" dxfId="17" priority="223" operator="equal">
      <formula>1</formula>
    </cfRule>
  </conditionalFormatting>
  <conditionalFormatting sqref="T31">
    <cfRule type="cellIs" dxfId="16" priority="222" operator="equal">
      <formula>1</formula>
    </cfRule>
  </conditionalFormatting>
  <conditionalFormatting sqref="U31">
    <cfRule type="cellIs" dxfId="15" priority="221" operator="equal">
      <formula>1</formula>
    </cfRule>
  </conditionalFormatting>
  <conditionalFormatting sqref="Q33">
    <cfRule type="cellIs" dxfId="14" priority="220" operator="equal">
      <formula>1</formula>
    </cfRule>
  </conditionalFormatting>
  <conditionalFormatting sqref="R33">
    <cfRule type="cellIs" dxfId="13" priority="219" operator="equal">
      <formula>1</formula>
    </cfRule>
  </conditionalFormatting>
  <conditionalFormatting sqref="S33">
    <cfRule type="cellIs" dxfId="12" priority="218" operator="equal">
      <formula>1</formula>
    </cfRule>
  </conditionalFormatting>
  <conditionalFormatting sqref="T33">
    <cfRule type="cellIs" dxfId="11" priority="217" operator="equal">
      <formula>1</formula>
    </cfRule>
  </conditionalFormatting>
  <conditionalFormatting sqref="U33">
    <cfRule type="cellIs" dxfId="10" priority="216" operator="equal">
      <formula>1</formula>
    </cfRule>
  </conditionalFormatting>
  <conditionalFormatting sqref="Q35">
    <cfRule type="cellIs" dxfId="9" priority="215" operator="equal">
      <formula>1</formula>
    </cfRule>
  </conditionalFormatting>
  <conditionalFormatting sqref="R35">
    <cfRule type="cellIs" dxfId="8" priority="214" operator="equal">
      <formula>1</formula>
    </cfRule>
  </conditionalFormatting>
  <conditionalFormatting sqref="S35">
    <cfRule type="cellIs" dxfId="7" priority="213" operator="equal">
      <formula>1</formula>
    </cfRule>
  </conditionalFormatting>
  <conditionalFormatting sqref="T35">
    <cfRule type="cellIs" dxfId="6" priority="212" operator="equal">
      <formula>1</formula>
    </cfRule>
  </conditionalFormatting>
  <conditionalFormatting sqref="U35">
    <cfRule type="cellIs" dxfId="5" priority="211" operator="equal">
      <formula>1</formula>
    </cfRule>
  </conditionalFormatting>
  <conditionalFormatting sqref="C43">
    <cfRule type="cellIs" dxfId="4" priority="210" operator="equal">
      <formula>0</formula>
    </cfRule>
  </conditionalFormatting>
  <conditionalFormatting sqref="Z56:XFD57 A57:B57 A56:Y56">
    <cfRule type="cellIs" dxfId="3" priority="209" operator="equal">
      <formula>0</formula>
    </cfRule>
  </conditionalFormatting>
  <conditionalFormatting sqref="Z90:XFD90">
    <cfRule type="cellIs" dxfId="2" priority="3" operator="equal">
      <formula>0</formula>
    </cfRule>
  </conditionalFormatting>
  <conditionalFormatting sqref="B62:B98">
    <cfRule type="cellIs" dxfId="1" priority="1" operator="equal">
      <formula>"Sorcery"</formula>
    </cfRule>
    <cfRule type="cellIs" dxfId="0" priority="2" operator="equal">
      <formula>"Styles"</formula>
    </cfRule>
  </conditionalFormatting>
  <printOptions gridLines="1"/>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14" workbookViewId="0">
      <selection activeCell="N35" sqref="N35"/>
    </sheetView>
  </sheetViews>
  <sheetFormatPr defaultRowHeight="15"/>
  <cols>
    <col min="15" max="15" width="9.140625" style="178"/>
    <col min="18" max="18" width="9.140625" style="172"/>
    <col min="22" max="22" width="9.140625" style="25"/>
  </cols>
  <sheetData>
    <row r="1" spans="1:23">
      <c r="B1" t="s">
        <v>829</v>
      </c>
      <c r="C1" t="s">
        <v>194</v>
      </c>
      <c r="D1" t="s">
        <v>160</v>
      </c>
      <c r="E1" t="s">
        <v>133</v>
      </c>
      <c r="F1" t="s">
        <v>186</v>
      </c>
    </row>
    <row r="2" spans="1:23">
      <c r="A2">
        <v>1</v>
      </c>
      <c r="B2" s="43" t="e">
        <f>builder!B60</f>
        <v>#N/A</v>
      </c>
      <c r="C2" t="e">
        <f>IF($B2=C$1,COUNTIF($B$2:$B$23,C$1),0)</f>
        <v>#N/A</v>
      </c>
      <c r="D2" s="61" t="e">
        <f t="shared" ref="D2:F2" si="0">IF($B2=D$1,COUNTIF($B$2:$B$23,D$1),0)</f>
        <v>#N/A</v>
      </c>
      <c r="E2" s="61" t="e">
        <f t="shared" si="0"/>
        <v>#N/A</v>
      </c>
      <c r="F2" s="61" t="e">
        <f t="shared" si="0"/>
        <v>#N/A</v>
      </c>
      <c r="G2" s="56" t="e">
        <f>SUM(C2:F2)</f>
        <v>#N/A</v>
      </c>
      <c r="H2" s="138" t="e">
        <f>IF(COUNTIF($C$1:$F$1,B2)&gt;0,"",B2)</f>
        <v>#N/A</v>
      </c>
      <c r="K2" t="e">
        <f>IF(H2&lt;&gt;"",A2,"")</f>
        <v>#N/A</v>
      </c>
      <c r="L2" t="e">
        <f t="shared" ref="L2:L13" si="1">SMALL($K$2:$K$27,A2)</f>
        <v>#N/A</v>
      </c>
      <c r="M2" t="str">
        <f>IF(ISERROR(L2),"",VLOOKUP(L2,$A$2:$B$27,2))</f>
        <v/>
      </c>
      <c r="P2" s="173">
        <v>1</v>
      </c>
      <c r="Q2" s="4" t="str">
        <f>M2</f>
        <v/>
      </c>
      <c r="R2" s="4" t="str">
        <f>print!B54</f>
        <v/>
      </c>
      <c r="S2" s="4" t="str">
        <f t="shared" ref="S2:S33" si="2">IF(Q2&lt;&gt;"",P2,"")</f>
        <v/>
      </c>
      <c r="T2" s="4">
        <f>SMALL($S$2:$S$56,P2)</f>
        <v>27</v>
      </c>
      <c r="U2" s="4" t="str">
        <f>IF(ISERROR(T2),"",VLOOKUP(T2,$P$2:$Q$56,2))</f>
        <v>Styles</v>
      </c>
      <c r="V2" s="174" t="str">
        <f>IF(ISERROR(T2),"",VLOOKUP(T2,$P$2:$R$56,3))</f>
        <v/>
      </c>
      <c r="W2" s="190" t="s">
        <v>101</v>
      </c>
    </row>
    <row r="3" spans="1:23">
      <c r="A3">
        <v>2</v>
      </c>
      <c r="B3" s="44" t="e">
        <f>builder!B61</f>
        <v>#N/A</v>
      </c>
      <c r="C3" s="24" t="e">
        <f>IF(AND($B3=C$1,C2&lt;1),COUNTIF($B$2:$B$23,C$1),0)</f>
        <v>#N/A</v>
      </c>
      <c r="D3" s="61" t="e">
        <f t="shared" ref="D3:F3" si="3">IF(AND($B3=D$1,D2&lt;1),COUNTIF($B$2:$B$23,D$1),0)</f>
        <v>#N/A</v>
      </c>
      <c r="E3" s="61" t="e">
        <f t="shared" si="3"/>
        <v>#N/A</v>
      </c>
      <c r="F3" s="61" t="e">
        <f t="shared" si="3"/>
        <v>#N/A</v>
      </c>
      <c r="G3" s="60" t="e">
        <f t="shared" ref="G3:G24" si="4">SUM(C3:F3)</f>
        <v>#N/A</v>
      </c>
      <c r="H3" s="138" t="e">
        <f t="shared" ref="H3:H23" si="5">IF(COUNTIF($C$1:$F$1,B3)&gt;0,"",B3)</f>
        <v>#N/A</v>
      </c>
      <c r="K3" s="61" t="e">
        <f t="shared" ref="K3:K23" si="6">IF(H3&lt;&gt;"",A3,"")</f>
        <v>#N/A</v>
      </c>
      <c r="L3" s="24" t="e">
        <f t="shared" si="1"/>
        <v>#N/A</v>
      </c>
      <c r="M3" s="61" t="str">
        <f t="shared" ref="M3:M27" si="7">IF(ISERROR(L3),"",VLOOKUP(L3,$A$2:$B$27,2))</f>
        <v/>
      </c>
      <c r="P3" s="6">
        <f>P2+1</f>
        <v>2</v>
      </c>
      <c r="Q3" s="25" t="str">
        <f t="shared" ref="Q3:Q27" si="8">M3</f>
        <v/>
      </c>
      <c r="R3" s="25" t="str">
        <f>print!B57</f>
        <v/>
      </c>
      <c r="S3" s="25" t="str">
        <f t="shared" si="2"/>
        <v/>
      </c>
      <c r="T3" s="25">
        <f t="shared" ref="T3:T56" si="9">SMALL($S$2:$S$56,P3)</f>
        <v>34</v>
      </c>
      <c r="U3" s="25" t="str">
        <f t="shared" ref="U3:U56" si="10">IF(ISERROR(T3),"",VLOOKUP(T3,$P$2:$Q$56,2))</f>
        <v>Sorcery</v>
      </c>
      <c r="V3" s="8" t="str">
        <f t="shared" ref="V3:V56" si="11">IF(ISERROR(T3),"",VLOOKUP(T3,$P$2:$R$56,3))</f>
        <v>None</v>
      </c>
      <c r="W3" s="190" t="s">
        <v>101</v>
      </c>
    </row>
    <row r="4" spans="1:23">
      <c r="A4">
        <v>3</v>
      </c>
      <c r="B4" s="44" t="e">
        <f>builder!B62</f>
        <v>#N/A</v>
      </c>
      <c r="C4" s="24" t="e">
        <f>IF(AND($B4=C$1,SUM(C2:C3)&lt;1),COUNTIF($B$2:$B$23,C$1),0)</f>
        <v>#N/A</v>
      </c>
      <c r="D4" s="61" t="e">
        <f t="shared" ref="D4:F4" si="12">IF(AND($B4=D$1,SUM(D2:D3)&lt;1),COUNTIF($B$2:$B$23,D$1),0)</f>
        <v>#N/A</v>
      </c>
      <c r="E4" s="61" t="e">
        <f t="shared" si="12"/>
        <v>#N/A</v>
      </c>
      <c r="F4" s="61" t="e">
        <f t="shared" si="12"/>
        <v>#N/A</v>
      </c>
      <c r="G4" s="60" t="e">
        <f t="shared" si="4"/>
        <v>#N/A</v>
      </c>
      <c r="H4" s="138" t="e">
        <f t="shared" si="5"/>
        <v>#N/A</v>
      </c>
      <c r="K4" s="61" t="e">
        <f t="shared" si="6"/>
        <v>#N/A</v>
      </c>
      <c r="L4" s="24" t="e">
        <f t="shared" si="1"/>
        <v>#N/A</v>
      </c>
      <c r="M4" s="61" t="str">
        <f t="shared" si="7"/>
        <v/>
      </c>
      <c r="P4" s="6">
        <f t="shared" ref="P4:P56" si="13">P3+1</f>
        <v>3</v>
      </c>
      <c r="Q4" s="25" t="str">
        <f t="shared" si="8"/>
        <v/>
      </c>
      <c r="R4" s="25" t="str">
        <f>print!B60</f>
        <v/>
      </c>
      <c r="S4" s="25" t="str">
        <f t="shared" si="2"/>
        <v/>
      </c>
      <c r="T4" s="25" t="e">
        <f t="shared" si="9"/>
        <v>#NUM!</v>
      </c>
      <c r="U4" s="25" t="str">
        <f t="shared" si="10"/>
        <v/>
      </c>
      <c r="V4" s="8" t="str">
        <f t="shared" si="11"/>
        <v/>
      </c>
      <c r="W4" s="190" t="s">
        <v>101</v>
      </c>
    </row>
    <row r="5" spans="1:23">
      <c r="A5">
        <v>4</v>
      </c>
      <c r="B5" s="44" t="e">
        <f>builder!B63</f>
        <v>#N/A</v>
      </c>
      <c r="C5" s="61" t="e">
        <f>IF(AND($B5=C$1,SUM(C2:C4)&lt;1),COUNTIF($B$2:$B$23,C$1),0)</f>
        <v>#N/A</v>
      </c>
      <c r="D5" s="61" t="e">
        <f t="shared" ref="D5:F5" si="14">IF(AND($B5=D$1,SUM(D2:D4)&lt;1),COUNTIF($B$2:$B$23,D$1),0)</f>
        <v>#N/A</v>
      </c>
      <c r="E5" s="61" t="e">
        <f t="shared" si="14"/>
        <v>#N/A</v>
      </c>
      <c r="F5" s="61" t="e">
        <f t="shared" si="14"/>
        <v>#N/A</v>
      </c>
      <c r="G5" s="60" t="e">
        <f t="shared" si="4"/>
        <v>#N/A</v>
      </c>
      <c r="H5" s="138" t="e">
        <f t="shared" si="5"/>
        <v>#N/A</v>
      </c>
      <c r="K5" s="61" t="e">
        <f t="shared" si="6"/>
        <v>#N/A</v>
      </c>
      <c r="L5" s="24" t="e">
        <f t="shared" si="1"/>
        <v>#N/A</v>
      </c>
      <c r="M5" s="61" t="str">
        <f t="shared" si="7"/>
        <v/>
      </c>
      <c r="P5" s="6">
        <f t="shared" si="13"/>
        <v>4</v>
      </c>
      <c r="Q5" s="25" t="str">
        <f t="shared" si="8"/>
        <v/>
      </c>
      <c r="R5" s="25" t="str">
        <f>print!B63</f>
        <v/>
      </c>
      <c r="S5" s="25" t="str">
        <f t="shared" si="2"/>
        <v/>
      </c>
      <c r="T5" s="25" t="e">
        <f t="shared" si="9"/>
        <v>#NUM!</v>
      </c>
      <c r="U5" s="25" t="str">
        <f t="shared" si="10"/>
        <v/>
      </c>
      <c r="V5" s="8" t="str">
        <f t="shared" si="11"/>
        <v/>
      </c>
      <c r="W5" s="190" t="s">
        <v>101</v>
      </c>
    </row>
    <row r="6" spans="1:23">
      <c r="A6">
        <v>5</v>
      </c>
      <c r="B6" s="44" t="e">
        <f>builder!B64</f>
        <v>#N/A</v>
      </c>
      <c r="C6" s="61" t="e">
        <f>IF(AND($B6=C$1,SUM(C2:C5)&lt;1),COUNTIF($B$2:$B$23,C$1),0)</f>
        <v>#N/A</v>
      </c>
      <c r="D6" s="61" t="e">
        <f t="shared" ref="D6:F6" si="15">IF(AND($B6=D$1,SUM(D2:D5)&lt;1),COUNTIF($B$2:$B$23,D$1),0)</f>
        <v>#N/A</v>
      </c>
      <c r="E6" s="61" t="e">
        <f t="shared" si="15"/>
        <v>#N/A</v>
      </c>
      <c r="F6" s="61" t="e">
        <f t="shared" si="15"/>
        <v>#N/A</v>
      </c>
      <c r="G6" s="60" t="e">
        <f t="shared" si="4"/>
        <v>#N/A</v>
      </c>
      <c r="H6" s="138" t="e">
        <f t="shared" si="5"/>
        <v>#N/A</v>
      </c>
      <c r="K6" s="61" t="e">
        <f t="shared" si="6"/>
        <v>#N/A</v>
      </c>
      <c r="L6" s="24" t="e">
        <f t="shared" si="1"/>
        <v>#N/A</v>
      </c>
      <c r="M6" s="61" t="str">
        <f t="shared" si="7"/>
        <v/>
      </c>
      <c r="P6" s="6">
        <f t="shared" si="13"/>
        <v>5</v>
      </c>
      <c r="Q6" s="25" t="str">
        <f t="shared" si="8"/>
        <v/>
      </c>
      <c r="R6" s="25" t="str">
        <f>print!B66</f>
        <v/>
      </c>
      <c r="S6" s="25" t="str">
        <f t="shared" si="2"/>
        <v/>
      </c>
      <c r="T6" s="25" t="e">
        <f t="shared" si="9"/>
        <v>#NUM!</v>
      </c>
      <c r="U6" s="25" t="str">
        <f t="shared" si="10"/>
        <v/>
      </c>
      <c r="V6" s="8" t="str">
        <f t="shared" si="11"/>
        <v/>
      </c>
      <c r="W6" s="190" t="s">
        <v>101</v>
      </c>
    </row>
    <row r="7" spans="1:23">
      <c r="A7">
        <v>6</v>
      </c>
      <c r="B7" s="44" t="e">
        <f>builder!B65</f>
        <v>#N/A</v>
      </c>
      <c r="C7" s="61" t="e">
        <f>IF(AND($B7=C$1,SUM(C2:C6)&lt;1),COUNTIF($B$2:$B$23,C$1),0)</f>
        <v>#N/A</v>
      </c>
      <c r="D7" s="61" t="e">
        <f t="shared" ref="D7:F7" si="16">IF(AND($B7=D$1,SUM(D2:D6)&lt;1),COUNTIF($B$2:$B$23,D$1),0)</f>
        <v>#N/A</v>
      </c>
      <c r="E7" s="61" t="e">
        <f t="shared" si="16"/>
        <v>#N/A</v>
      </c>
      <c r="F7" s="61" t="e">
        <f t="shared" si="16"/>
        <v>#N/A</v>
      </c>
      <c r="G7" s="60" t="e">
        <f t="shared" si="4"/>
        <v>#N/A</v>
      </c>
      <c r="H7" s="138" t="e">
        <f t="shared" si="5"/>
        <v>#N/A</v>
      </c>
      <c r="J7" s="24"/>
      <c r="K7" s="61" t="e">
        <f t="shared" si="6"/>
        <v>#N/A</v>
      </c>
      <c r="L7" s="24" t="e">
        <f t="shared" si="1"/>
        <v>#N/A</v>
      </c>
      <c r="M7" s="61" t="str">
        <f t="shared" si="7"/>
        <v/>
      </c>
      <c r="P7" s="6">
        <f t="shared" si="13"/>
        <v>6</v>
      </c>
      <c r="Q7" s="25" t="str">
        <f t="shared" si="8"/>
        <v/>
      </c>
      <c r="R7" s="25" t="str">
        <f>print!B69</f>
        <v/>
      </c>
      <c r="S7" s="25" t="str">
        <f t="shared" si="2"/>
        <v/>
      </c>
      <c r="T7" s="25" t="e">
        <f t="shared" si="9"/>
        <v>#NUM!</v>
      </c>
      <c r="U7" s="25" t="str">
        <f t="shared" si="10"/>
        <v/>
      </c>
      <c r="V7" s="8" t="str">
        <f t="shared" si="11"/>
        <v/>
      </c>
      <c r="W7" s="190" t="s">
        <v>101</v>
      </c>
    </row>
    <row r="8" spans="1:23">
      <c r="A8">
        <v>7</v>
      </c>
      <c r="B8" s="45" t="str">
        <f>IF(builder!B67&lt;&gt;"",builder!B67,"")</f>
        <v/>
      </c>
      <c r="C8" s="61" t="e">
        <f>IF(AND($B8=C$1,SUM(C2:C7)&lt;1),COUNTIF($B$2:$B$23,C$1),0)</f>
        <v>#N/A</v>
      </c>
      <c r="D8" s="61" t="e">
        <f t="shared" ref="D8:F8" si="17">IF(AND($B8=D$1,SUM(D2:D7)&lt;1),COUNTIF($B$2:$B$23,D$1),0)</f>
        <v>#N/A</v>
      </c>
      <c r="E8" s="61" t="e">
        <f t="shared" si="17"/>
        <v>#N/A</v>
      </c>
      <c r="F8" s="61" t="e">
        <f t="shared" si="17"/>
        <v>#N/A</v>
      </c>
      <c r="G8" s="60" t="e">
        <f t="shared" si="4"/>
        <v>#N/A</v>
      </c>
      <c r="H8" s="138" t="str">
        <f t="shared" si="5"/>
        <v/>
      </c>
      <c r="J8" s="24"/>
      <c r="K8" s="61" t="str">
        <f t="shared" si="6"/>
        <v/>
      </c>
      <c r="L8" s="24" t="e">
        <f t="shared" si="1"/>
        <v>#N/A</v>
      </c>
      <c r="M8" s="61" t="str">
        <f t="shared" si="7"/>
        <v/>
      </c>
      <c r="P8" s="6">
        <f t="shared" si="13"/>
        <v>7</v>
      </c>
      <c r="Q8" s="25" t="str">
        <f t="shared" si="8"/>
        <v/>
      </c>
      <c r="R8" s="25" t="str">
        <f>print!B72</f>
        <v/>
      </c>
      <c r="S8" s="25" t="str">
        <f t="shared" si="2"/>
        <v/>
      </c>
      <c r="T8" s="25" t="e">
        <f t="shared" si="9"/>
        <v>#NUM!</v>
      </c>
      <c r="U8" s="25" t="str">
        <f t="shared" si="10"/>
        <v/>
      </c>
      <c r="V8" s="8" t="str">
        <f t="shared" si="11"/>
        <v/>
      </c>
      <c r="W8" s="190" t="s">
        <v>101</v>
      </c>
    </row>
    <row r="9" spans="1:23">
      <c r="A9">
        <v>8</v>
      </c>
      <c r="B9" s="45" t="str">
        <f>IF(builder!B68&lt;&gt;"",builder!B68,"")</f>
        <v/>
      </c>
      <c r="C9" s="61" t="e">
        <f>IF(AND($B9=C$1,SUM(C2:C8)&lt;1),COUNTIF($B$2:$B$23,C$1),0)</f>
        <v>#N/A</v>
      </c>
      <c r="D9" s="61" t="e">
        <f t="shared" ref="D9:F9" si="18">IF(AND($B9=D$1,SUM(D2:D8)&lt;1),COUNTIF($B$2:$B$23,D$1),0)</f>
        <v>#N/A</v>
      </c>
      <c r="E9" s="61" t="e">
        <f t="shared" si="18"/>
        <v>#N/A</v>
      </c>
      <c r="F9" s="61" t="e">
        <f t="shared" si="18"/>
        <v>#N/A</v>
      </c>
      <c r="G9" s="60" t="e">
        <f t="shared" si="4"/>
        <v>#N/A</v>
      </c>
      <c r="H9" s="138" t="str">
        <f t="shared" si="5"/>
        <v/>
      </c>
      <c r="J9" s="24"/>
      <c r="K9" s="61" t="str">
        <f t="shared" si="6"/>
        <v/>
      </c>
      <c r="L9" s="24" t="e">
        <f t="shared" si="1"/>
        <v>#N/A</v>
      </c>
      <c r="M9" s="61" t="str">
        <f t="shared" si="7"/>
        <v/>
      </c>
      <c r="P9" s="6">
        <f t="shared" si="13"/>
        <v>8</v>
      </c>
      <c r="Q9" s="25" t="str">
        <f t="shared" si="8"/>
        <v/>
      </c>
      <c r="R9" s="25" t="str">
        <f>print!B77</f>
        <v/>
      </c>
      <c r="S9" s="25" t="str">
        <f t="shared" si="2"/>
        <v/>
      </c>
      <c r="T9" s="25" t="e">
        <f t="shared" si="9"/>
        <v>#NUM!</v>
      </c>
      <c r="U9" s="25" t="str">
        <f t="shared" si="10"/>
        <v/>
      </c>
      <c r="V9" s="8" t="str">
        <f t="shared" si="11"/>
        <v/>
      </c>
      <c r="W9" s="190" t="s">
        <v>101</v>
      </c>
    </row>
    <row r="10" spans="1:23">
      <c r="A10">
        <v>9</v>
      </c>
      <c r="B10" s="45" t="str">
        <f>IF(builder!B69&lt;&gt;"",builder!B69,"")</f>
        <v/>
      </c>
      <c r="C10" s="61" t="e">
        <f>IF(AND($B10=C$1,SUM(C2:C9)&lt;1),COUNTIF($B$2:$B$23,C$1),0)</f>
        <v>#N/A</v>
      </c>
      <c r="D10" s="61" t="e">
        <f t="shared" ref="D10:F10" si="19">IF(AND($B10=D$1,SUM(D2:D9)&lt;1),COUNTIF($B$2:$B$23,D$1),0)</f>
        <v>#N/A</v>
      </c>
      <c r="E10" s="61" t="e">
        <f t="shared" si="19"/>
        <v>#N/A</v>
      </c>
      <c r="F10" s="61" t="e">
        <f t="shared" si="19"/>
        <v>#N/A</v>
      </c>
      <c r="G10" s="60" t="e">
        <f t="shared" si="4"/>
        <v>#N/A</v>
      </c>
      <c r="H10" s="138" t="str">
        <f t="shared" si="5"/>
        <v/>
      </c>
      <c r="J10" s="24"/>
      <c r="K10" s="61" t="str">
        <f t="shared" si="6"/>
        <v/>
      </c>
      <c r="L10" s="24" t="e">
        <f t="shared" si="1"/>
        <v>#N/A</v>
      </c>
      <c r="M10" s="61" t="str">
        <f t="shared" si="7"/>
        <v/>
      </c>
      <c r="P10" s="6">
        <f t="shared" si="13"/>
        <v>9</v>
      </c>
      <c r="Q10" s="25" t="str">
        <f t="shared" si="8"/>
        <v/>
      </c>
      <c r="R10" s="25" t="str">
        <f>print!B80</f>
        <v/>
      </c>
      <c r="S10" s="25" t="str">
        <f t="shared" si="2"/>
        <v/>
      </c>
      <c r="T10" s="25" t="e">
        <f t="shared" si="9"/>
        <v>#NUM!</v>
      </c>
      <c r="U10" s="25" t="str">
        <f t="shared" si="10"/>
        <v/>
      </c>
      <c r="V10" s="8" t="str">
        <f t="shared" si="11"/>
        <v/>
      </c>
      <c r="W10" s="190" t="s">
        <v>101</v>
      </c>
    </row>
    <row r="11" spans="1:23">
      <c r="A11">
        <v>10</v>
      </c>
      <c r="B11" s="45" t="str">
        <f>IF(builder!B70&lt;&gt;"",builder!B70,"")</f>
        <v/>
      </c>
      <c r="C11" s="61" t="e">
        <f>IF(AND($B11=C$1,SUM(C2:C10)&lt;1),COUNTIF($B$2:$B$23,C$1),0)</f>
        <v>#N/A</v>
      </c>
      <c r="D11" s="61" t="e">
        <f t="shared" ref="D11:F11" si="20">IF(AND($B11=D$1,SUM(D2:D10)&lt;1),COUNTIF($B$2:$B$23,D$1),0)</f>
        <v>#N/A</v>
      </c>
      <c r="E11" s="61" t="e">
        <f t="shared" si="20"/>
        <v>#N/A</v>
      </c>
      <c r="F11" s="61" t="e">
        <f t="shared" si="20"/>
        <v>#N/A</v>
      </c>
      <c r="G11" s="60" t="e">
        <f t="shared" si="4"/>
        <v>#N/A</v>
      </c>
      <c r="H11" s="138" t="str">
        <f t="shared" si="5"/>
        <v/>
      </c>
      <c r="J11" s="24"/>
      <c r="K11" s="61" t="str">
        <f t="shared" si="6"/>
        <v/>
      </c>
      <c r="L11" s="24" t="e">
        <f t="shared" si="1"/>
        <v>#N/A</v>
      </c>
      <c r="M11" s="61" t="str">
        <f t="shared" si="7"/>
        <v/>
      </c>
      <c r="P11" s="6">
        <f t="shared" si="13"/>
        <v>10</v>
      </c>
      <c r="Q11" s="25" t="str">
        <f t="shared" si="8"/>
        <v/>
      </c>
      <c r="R11" s="25" t="str">
        <f>print!B83</f>
        <v/>
      </c>
      <c r="S11" s="25" t="str">
        <f t="shared" si="2"/>
        <v/>
      </c>
      <c r="T11" s="25" t="e">
        <f t="shared" si="9"/>
        <v>#NUM!</v>
      </c>
      <c r="U11" s="25" t="str">
        <f t="shared" si="10"/>
        <v/>
      </c>
      <c r="V11" s="8" t="str">
        <f t="shared" si="11"/>
        <v/>
      </c>
      <c r="W11" s="190" t="s">
        <v>101</v>
      </c>
    </row>
    <row r="12" spans="1:23">
      <c r="A12">
        <v>11</v>
      </c>
      <c r="B12" s="45" t="str">
        <f>IF(builder!B71&lt;&gt;"",builder!B71,"")</f>
        <v/>
      </c>
      <c r="C12" s="61" t="e">
        <f>IF(AND($B12=C$1,SUM(C2:C11)&lt;1),COUNTIF($B$2:$B$23,C$1),0)</f>
        <v>#N/A</v>
      </c>
      <c r="D12" s="61" t="e">
        <f t="shared" ref="D12:F12" si="21">IF(AND($B12=D$1,SUM(D2:D11)&lt;1),COUNTIF($B$2:$B$23,D$1),0)</f>
        <v>#N/A</v>
      </c>
      <c r="E12" s="61" t="e">
        <f t="shared" si="21"/>
        <v>#N/A</v>
      </c>
      <c r="F12" s="61" t="e">
        <f t="shared" si="21"/>
        <v>#N/A</v>
      </c>
      <c r="G12" s="60" t="e">
        <f t="shared" si="4"/>
        <v>#N/A</v>
      </c>
      <c r="H12" s="138" t="str">
        <f t="shared" si="5"/>
        <v/>
      </c>
      <c r="J12" s="24"/>
      <c r="K12" s="61" t="str">
        <f t="shared" si="6"/>
        <v/>
      </c>
      <c r="L12" s="24" t="e">
        <f t="shared" si="1"/>
        <v>#N/A</v>
      </c>
      <c r="M12" s="61" t="str">
        <f t="shared" si="7"/>
        <v/>
      </c>
      <c r="P12" s="6">
        <f t="shared" si="13"/>
        <v>11</v>
      </c>
      <c r="Q12" s="25" t="str">
        <f t="shared" si="8"/>
        <v/>
      </c>
      <c r="R12" s="25" t="str">
        <f>print!B86</f>
        <v/>
      </c>
      <c r="S12" s="25" t="str">
        <f t="shared" si="2"/>
        <v/>
      </c>
      <c r="T12" s="25" t="e">
        <f t="shared" si="9"/>
        <v>#NUM!</v>
      </c>
      <c r="U12" s="25" t="str">
        <f t="shared" si="10"/>
        <v/>
      </c>
      <c r="V12" s="8" t="str">
        <f t="shared" si="11"/>
        <v/>
      </c>
      <c r="W12" s="190" t="s">
        <v>101</v>
      </c>
    </row>
    <row r="13" spans="1:23">
      <c r="A13">
        <v>12</v>
      </c>
      <c r="B13" s="45" t="str">
        <f>IF(builder!B72&lt;&gt;"",builder!B72,"")</f>
        <v/>
      </c>
      <c r="C13" s="61" t="e">
        <f>IF(AND($B13=C$1,SUM(C2:C12)&lt;1),COUNTIF($B$2:$B$23,C$1),0)</f>
        <v>#N/A</v>
      </c>
      <c r="D13" s="61" t="e">
        <f t="shared" ref="D13:F13" si="22">IF(AND($B13=D$1,SUM(D2:D12)&lt;1),COUNTIF($B$2:$B$23,D$1),0)</f>
        <v>#N/A</v>
      </c>
      <c r="E13" s="61" t="e">
        <f t="shared" si="22"/>
        <v>#N/A</v>
      </c>
      <c r="F13" s="61" t="e">
        <f t="shared" si="22"/>
        <v>#N/A</v>
      </c>
      <c r="G13" s="60" t="e">
        <f t="shared" si="4"/>
        <v>#N/A</v>
      </c>
      <c r="H13" s="138" t="str">
        <f t="shared" si="5"/>
        <v/>
      </c>
      <c r="J13" s="24"/>
      <c r="K13" s="61" t="str">
        <f t="shared" si="6"/>
        <v/>
      </c>
      <c r="L13" s="24" t="e">
        <f t="shared" si="1"/>
        <v>#N/A</v>
      </c>
      <c r="M13" s="61" t="str">
        <f t="shared" si="7"/>
        <v/>
      </c>
      <c r="P13" s="6">
        <f t="shared" si="13"/>
        <v>12</v>
      </c>
      <c r="Q13" s="25" t="str">
        <f t="shared" si="8"/>
        <v/>
      </c>
      <c r="R13" s="25" t="str">
        <f>print!B89</f>
        <v/>
      </c>
      <c r="S13" s="25" t="str">
        <f t="shared" si="2"/>
        <v/>
      </c>
      <c r="T13" s="25" t="e">
        <f t="shared" si="9"/>
        <v>#NUM!</v>
      </c>
      <c r="U13" s="25" t="str">
        <f t="shared" si="10"/>
        <v/>
      </c>
      <c r="V13" s="8" t="str">
        <f t="shared" si="11"/>
        <v/>
      </c>
      <c r="W13" s="190" t="s">
        <v>101</v>
      </c>
    </row>
    <row r="14" spans="1:23">
      <c r="A14">
        <v>13</v>
      </c>
      <c r="B14" s="45" t="str">
        <f>IF(builder!B73&lt;&gt;"",builder!B73,"")</f>
        <v/>
      </c>
      <c r="C14" s="61" t="e">
        <f>IF(AND($B14=C$1,SUM(C2:C13)&lt;1),COUNTIF($B$2:$B$23,C$1),0)</f>
        <v>#N/A</v>
      </c>
      <c r="D14" s="61" t="e">
        <f t="shared" ref="D14:F14" si="23">IF(AND($B14=D$1,SUM(D2:D13)&lt;1),COUNTIF($B$2:$B$23,D$1),0)</f>
        <v>#N/A</v>
      </c>
      <c r="E14" s="61" t="e">
        <f t="shared" si="23"/>
        <v>#N/A</v>
      </c>
      <c r="F14" s="61" t="e">
        <f t="shared" si="23"/>
        <v>#N/A</v>
      </c>
      <c r="G14" s="60" t="e">
        <f t="shared" si="4"/>
        <v>#N/A</v>
      </c>
      <c r="H14" s="138" t="str">
        <f t="shared" si="5"/>
        <v/>
      </c>
      <c r="J14" s="24"/>
      <c r="K14" s="61" t="str">
        <f t="shared" si="6"/>
        <v/>
      </c>
      <c r="L14" s="61" t="e">
        <f t="shared" ref="L14:L27" si="24">SMALL($K$2:$K$27,A14)</f>
        <v>#N/A</v>
      </c>
      <c r="M14" s="61" t="str">
        <f t="shared" si="7"/>
        <v/>
      </c>
      <c r="P14" s="6">
        <f t="shared" si="13"/>
        <v>13</v>
      </c>
      <c r="Q14" s="25" t="str">
        <f t="shared" si="8"/>
        <v/>
      </c>
      <c r="R14" s="25" t="str">
        <f>print!B92</f>
        <v/>
      </c>
      <c r="S14" s="25" t="str">
        <f t="shared" si="2"/>
        <v/>
      </c>
      <c r="T14" s="25" t="e">
        <f t="shared" si="9"/>
        <v>#NUM!</v>
      </c>
      <c r="U14" s="25" t="str">
        <f t="shared" si="10"/>
        <v/>
      </c>
      <c r="V14" s="8" t="str">
        <f t="shared" si="11"/>
        <v/>
      </c>
      <c r="W14" s="190" t="s">
        <v>101</v>
      </c>
    </row>
    <row r="15" spans="1:23">
      <c r="A15">
        <v>14</v>
      </c>
      <c r="B15" s="46" t="str">
        <f>IF(builder!B74&lt;&gt;"",builder!B74,"")</f>
        <v/>
      </c>
      <c r="C15" s="61" t="e">
        <f>IF(AND($B15=C$1,SUM(C2:C14)&lt;1),COUNTIF($B$2:$B$23,C$1),0)</f>
        <v>#N/A</v>
      </c>
      <c r="D15" s="61" t="e">
        <f t="shared" ref="D15:F15" si="25">IF(AND($B15=D$1,SUM(D2:D14)&lt;1),COUNTIF($B$2:$B$23,D$1),0)</f>
        <v>#N/A</v>
      </c>
      <c r="E15" s="61" t="e">
        <f t="shared" si="25"/>
        <v>#N/A</v>
      </c>
      <c r="F15" s="61" t="e">
        <f t="shared" si="25"/>
        <v>#N/A</v>
      </c>
      <c r="G15" s="60" t="e">
        <f t="shared" si="4"/>
        <v>#N/A</v>
      </c>
      <c r="H15" s="138" t="str">
        <f t="shared" si="5"/>
        <v/>
      </c>
      <c r="J15" s="24"/>
      <c r="K15" s="61" t="str">
        <f t="shared" si="6"/>
        <v/>
      </c>
      <c r="L15" s="61" t="e">
        <f t="shared" si="24"/>
        <v>#N/A</v>
      </c>
      <c r="M15" s="61" t="str">
        <f t="shared" si="7"/>
        <v/>
      </c>
      <c r="P15" s="6">
        <f t="shared" si="13"/>
        <v>14</v>
      </c>
      <c r="Q15" s="25" t="str">
        <f t="shared" si="8"/>
        <v/>
      </c>
      <c r="R15" s="25" t="str">
        <f>print!B95</f>
        <v/>
      </c>
      <c r="S15" s="25" t="str">
        <f t="shared" si="2"/>
        <v/>
      </c>
      <c r="T15" s="25" t="e">
        <f t="shared" si="9"/>
        <v>#NUM!</v>
      </c>
      <c r="U15" s="25" t="str">
        <f t="shared" si="10"/>
        <v/>
      </c>
      <c r="V15" s="8" t="str">
        <f t="shared" si="11"/>
        <v/>
      </c>
      <c r="W15" s="190" t="s">
        <v>101</v>
      </c>
    </row>
    <row r="16" spans="1:23" s="61" customFormat="1">
      <c r="A16" s="61">
        <v>15</v>
      </c>
      <c r="B16" s="156" t="str">
        <f>IF(builder!N67&lt;&gt;"",builder!N67,"")</f>
        <v/>
      </c>
      <c r="C16" s="61" t="e">
        <f>IF(AND($B16=C$1,SUM(C2:C15)&lt;1),COUNTIF($B$2:$B$23,C$1),0)</f>
        <v>#N/A</v>
      </c>
      <c r="D16" s="61" t="e">
        <f t="shared" ref="D16:F16" si="26">IF(AND($B16=D$1,SUM(D2:D15)&lt;1),COUNTIF($B$2:$B$23,D$1),0)</f>
        <v>#N/A</v>
      </c>
      <c r="E16" s="61" t="e">
        <f t="shared" si="26"/>
        <v>#N/A</v>
      </c>
      <c r="F16" s="61" t="e">
        <f t="shared" si="26"/>
        <v>#N/A</v>
      </c>
      <c r="G16" s="60" t="e">
        <f t="shared" si="4"/>
        <v>#N/A</v>
      </c>
      <c r="H16" s="138" t="str">
        <f t="shared" si="5"/>
        <v/>
      </c>
      <c r="K16" s="61" t="str">
        <f t="shared" si="6"/>
        <v/>
      </c>
      <c r="L16" s="61" t="e">
        <f t="shared" si="24"/>
        <v>#N/A</v>
      </c>
      <c r="M16" s="61" t="str">
        <f t="shared" si="7"/>
        <v/>
      </c>
      <c r="O16" s="178"/>
      <c r="P16" s="6">
        <f t="shared" si="13"/>
        <v>15</v>
      </c>
      <c r="Q16" s="25" t="str">
        <f t="shared" si="8"/>
        <v/>
      </c>
      <c r="R16" s="25"/>
      <c r="S16" s="25" t="str">
        <f t="shared" si="2"/>
        <v/>
      </c>
      <c r="T16" s="25" t="e">
        <f t="shared" si="9"/>
        <v>#NUM!</v>
      </c>
      <c r="U16" s="25" t="str">
        <f t="shared" si="10"/>
        <v/>
      </c>
      <c r="V16" s="8" t="str">
        <f t="shared" si="11"/>
        <v/>
      </c>
      <c r="W16" s="190" t="s">
        <v>101</v>
      </c>
    </row>
    <row r="17" spans="1:23" s="61" customFormat="1">
      <c r="A17" s="61">
        <v>16</v>
      </c>
      <c r="B17" s="156" t="str">
        <f>IF(builder!N68&lt;&gt;"",builder!N68,"")</f>
        <v/>
      </c>
      <c r="C17" s="61" t="e">
        <f>IF(AND($B17=C$1,SUM(C2:C16)&lt;1),COUNTIF($B$2:$B$23,C$1),0)</f>
        <v>#N/A</v>
      </c>
      <c r="D17" s="61" t="e">
        <f t="shared" ref="D17:F17" si="27">IF(AND($B17=D$1,SUM(D2:D16)&lt;1),COUNTIF($B$2:$B$23,D$1),0)</f>
        <v>#N/A</v>
      </c>
      <c r="E17" s="61" t="e">
        <f t="shared" si="27"/>
        <v>#N/A</v>
      </c>
      <c r="F17" s="61" t="e">
        <f t="shared" si="27"/>
        <v>#N/A</v>
      </c>
      <c r="G17" s="60" t="e">
        <f t="shared" si="4"/>
        <v>#N/A</v>
      </c>
      <c r="H17" s="138" t="str">
        <f t="shared" si="5"/>
        <v/>
      </c>
      <c r="K17" s="61" t="str">
        <f t="shared" si="6"/>
        <v/>
      </c>
      <c r="L17" s="61" t="e">
        <f t="shared" si="24"/>
        <v>#N/A</v>
      </c>
      <c r="M17" s="61" t="str">
        <f t="shared" si="7"/>
        <v/>
      </c>
      <c r="O17" s="178"/>
      <c r="P17" s="6">
        <f t="shared" si="13"/>
        <v>16</v>
      </c>
      <c r="Q17" s="25" t="str">
        <f t="shared" si="8"/>
        <v/>
      </c>
      <c r="R17" s="25"/>
      <c r="S17" s="25" t="str">
        <f t="shared" si="2"/>
        <v/>
      </c>
      <c r="T17" s="25" t="e">
        <f t="shared" si="9"/>
        <v>#NUM!</v>
      </c>
      <c r="U17" s="25" t="str">
        <f t="shared" si="10"/>
        <v/>
      </c>
      <c r="V17" s="8" t="str">
        <f t="shared" si="11"/>
        <v/>
      </c>
      <c r="W17" s="190" t="s">
        <v>101</v>
      </c>
    </row>
    <row r="18" spans="1:23" s="61" customFormat="1">
      <c r="A18" s="61">
        <v>17</v>
      </c>
      <c r="B18" s="156" t="str">
        <f>IF(builder!N69&lt;&gt;"",builder!N69,"")</f>
        <v/>
      </c>
      <c r="C18" s="61" t="e">
        <f>IF(AND($B18=C$1,SUM(C2:C17)&lt;1),COUNTIF($B$2:$B$23,C$1),0)</f>
        <v>#N/A</v>
      </c>
      <c r="D18" s="61" t="e">
        <f t="shared" ref="D18:F18" si="28">IF(AND($B18=D$1,SUM(D2:D17)&lt;1),COUNTIF($B$2:$B$23,D$1),0)</f>
        <v>#N/A</v>
      </c>
      <c r="E18" s="61" t="e">
        <f t="shared" si="28"/>
        <v>#N/A</v>
      </c>
      <c r="F18" s="61" t="e">
        <f t="shared" si="28"/>
        <v>#N/A</v>
      </c>
      <c r="G18" s="60" t="e">
        <f t="shared" si="4"/>
        <v>#N/A</v>
      </c>
      <c r="H18" s="138" t="str">
        <f t="shared" si="5"/>
        <v/>
      </c>
      <c r="K18" s="61" t="str">
        <f t="shared" si="6"/>
        <v/>
      </c>
      <c r="L18" s="61" t="e">
        <f t="shared" si="24"/>
        <v>#N/A</v>
      </c>
      <c r="M18" s="61" t="str">
        <f t="shared" si="7"/>
        <v/>
      </c>
      <c r="O18" s="178"/>
      <c r="P18" s="6">
        <f t="shared" si="13"/>
        <v>17</v>
      </c>
      <c r="Q18" s="25" t="str">
        <f t="shared" si="8"/>
        <v/>
      </c>
      <c r="R18" s="25"/>
      <c r="S18" s="25" t="str">
        <f t="shared" si="2"/>
        <v/>
      </c>
      <c r="T18" s="25" t="e">
        <f t="shared" si="9"/>
        <v>#NUM!</v>
      </c>
      <c r="U18" s="25" t="str">
        <f t="shared" si="10"/>
        <v/>
      </c>
      <c r="V18" s="8" t="str">
        <f t="shared" si="11"/>
        <v/>
      </c>
      <c r="W18" s="190" t="s">
        <v>101</v>
      </c>
    </row>
    <row r="19" spans="1:23" s="61" customFormat="1">
      <c r="A19" s="61">
        <v>18</v>
      </c>
      <c r="B19" s="156" t="str">
        <f>IF(builder!N70&lt;&gt;"",builder!N70,"")</f>
        <v/>
      </c>
      <c r="C19" s="61" t="e">
        <f>IF(AND($B19=C$1,SUM(C2:C18)&lt;1),COUNTIF($B$2:$B$23,C$1),0)</f>
        <v>#N/A</v>
      </c>
      <c r="D19" s="61" t="e">
        <f t="shared" ref="D19:F19" si="29">IF(AND($B19=D$1,SUM(D2:D18)&lt;1),COUNTIF($B$2:$B$23,D$1),0)</f>
        <v>#N/A</v>
      </c>
      <c r="E19" s="61" t="e">
        <f t="shared" si="29"/>
        <v>#N/A</v>
      </c>
      <c r="F19" s="61" t="e">
        <f t="shared" si="29"/>
        <v>#N/A</v>
      </c>
      <c r="G19" s="60" t="e">
        <f t="shared" si="4"/>
        <v>#N/A</v>
      </c>
      <c r="H19" s="138" t="str">
        <f t="shared" si="5"/>
        <v/>
      </c>
      <c r="K19" s="61" t="str">
        <f t="shared" si="6"/>
        <v/>
      </c>
      <c r="L19" s="61" t="e">
        <f t="shared" si="24"/>
        <v>#N/A</v>
      </c>
      <c r="M19" s="61" t="str">
        <f t="shared" si="7"/>
        <v/>
      </c>
      <c r="O19" s="178"/>
      <c r="P19" s="6">
        <f t="shared" si="13"/>
        <v>18</v>
      </c>
      <c r="Q19" s="25" t="str">
        <f t="shared" si="8"/>
        <v/>
      </c>
      <c r="R19" s="25"/>
      <c r="S19" s="25" t="str">
        <f t="shared" si="2"/>
        <v/>
      </c>
      <c r="T19" s="25" t="e">
        <f t="shared" si="9"/>
        <v>#NUM!</v>
      </c>
      <c r="U19" s="25" t="str">
        <f t="shared" si="10"/>
        <v/>
      </c>
      <c r="V19" s="8" t="str">
        <f t="shared" si="11"/>
        <v/>
      </c>
      <c r="W19" s="190" t="s">
        <v>101</v>
      </c>
    </row>
    <row r="20" spans="1:23" s="61" customFormat="1">
      <c r="A20" s="61">
        <v>19</v>
      </c>
      <c r="B20" s="156" t="str">
        <f>IF(builder!N71&lt;&gt;"",builder!N71,"")</f>
        <v/>
      </c>
      <c r="C20" s="61" t="e">
        <f>IF(AND($B20=C$1,SUM(C2:C19)&lt;1),COUNTIF($B$2:$B$23,C$1),0)</f>
        <v>#N/A</v>
      </c>
      <c r="D20" s="61" t="e">
        <f t="shared" ref="D20:F20" si="30">IF(AND($B20=D$1,SUM(D2:D19)&lt;1),COUNTIF($B$2:$B$23,D$1),0)</f>
        <v>#N/A</v>
      </c>
      <c r="E20" s="61" t="e">
        <f t="shared" si="30"/>
        <v>#N/A</v>
      </c>
      <c r="F20" s="61" t="e">
        <f t="shared" si="30"/>
        <v>#N/A</v>
      </c>
      <c r="G20" s="60" t="e">
        <f t="shared" si="4"/>
        <v>#N/A</v>
      </c>
      <c r="H20" s="138" t="str">
        <f t="shared" si="5"/>
        <v/>
      </c>
      <c r="K20" s="61" t="str">
        <f t="shared" si="6"/>
        <v/>
      </c>
      <c r="L20" s="61" t="e">
        <f t="shared" si="24"/>
        <v>#N/A</v>
      </c>
      <c r="M20" s="61" t="str">
        <f t="shared" si="7"/>
        <v/>
      </c>
      <c r="O20" s="178"/>
      <c r="P20" s="6">
        <f t="shared" si="13"/>
        <v>19</v>
      </c>
      <c r="Q20" s="25" t="str">
        <f t="shared" si="8"/>
        <v/>
      </c>
      <c r="R20" s="25"/>
      <c r="S20" s="25" t="str">
        <f t="shared" si="2"/>
        <v/>
      </c>
      <c r="T20" s="25" t="e">
        <f t="shared" si="9"/>
        <v>#NUM!</v>
      </c>
      <c r="U20" s="25" t="str">
        <f t="shared" si="10"/>
        <v/>
      </c>
      <c r="V20" s="8" t="str">
        <f t="shared" si="11"/>
        <v/>
      </c>
      <c r="W20" s="190" t="s">
        <v>101</v>
      </c>
    </row>
    <row r="21" spans="1:23" s="61" customFormat="1">
      <c r="A21" s="61">
        <v>20</v>
      </c>
      <c r="B21" s="156" t="str">
        <f>IF(builder!N72&lt;&gt;"",builder!N72,"")</f>
        <v/>
      </c>
      <c r="C21" s="61" t="e">
        <f>IF(AND($B21=C$1,SUM(C2:C20)&lt;1),COUNTIF($B$2:$B$23,C$1),0)</f>
        <v>#N/A</v>
      </c>
      <c r="D21" s="61" t="e">
        <f t="shared" ref="D21:F21" si="31">IF(AND($B21=D$1,SUM(D2:D20)&lt;1),COUNTIF($B$2:$B$23,D$1),0)</f>
        <v>#N/A</v>
      </c>
      <c r="E21" s="61" t="e">
        <f t="shared" si="31"/>
        <v>#N/A</v>
      </c>
      <c r="F21" s="61" t="e">
        <f t="shared" si="31"/>
        <v>#N/A</v>
      </c>
      <c r="G21" s="60" t="e">
        <f t="shared" si="4"/>
        <v>#N/A</v>
      </c>
      <c r="H21" s="138" t="str">
        <f t="shared" si="5"/>
        <v/>
      </c>
      <c r="K21" s="61" t="str">
        <f t="shared" si="6"/>
        <v/>
      </c>
      <c r="L21" s="61" t="e">
        <f t="shared" si="24"/>
        <v>#N/A</v>
      </c>
      <c r="M21" s="61" t="str">
        <f t="shared" si="7"/>
        <v/>
      </c>
      <c r="O21" s="178"/>
      <c r="P21" s="6">
        <f t="shared" si="13"/>
        <v>20</v>
      </c>
      <c r="Q21" s="25" t="str">
        <f t="shared" si="8"/>
        <v/>
      </c>
      <c r="R21" s="25"/>
      <c r="S21" s="25" t="str">
        <f t="shared" si="2"/>
        <v/>
      </c>
      <c r="T21" s="25" t="e">
        <f t="shared" si="9"/>
        <v>#NUM!</v>
      </c>
      <c r="U21" s="25" t="str">
        <f t="shared" si="10"/>
        <v/>
      </c>
      <c r="V21" s="8" t="str">
        <f t="shared" si="11"/>
        <v/>
      </c>
      <c r="W21" s="190" t="s">
        <v>101</v>
      </c>
    </row>
    <row r="22" spans="1:23" s="61" customFormat="1">
      <c r="A22" s="61">
        <v>21</v>
      </c>
      <c r="B22" s="156" t="str">
        <f>IF(builder!N73&lt;&gt;"",builder!N73,"")</f>
        <v/>
      </c>
      <c r="C22" s="61" t="e">
        <f>IF(AND($B22=C$1,SUM(C2:C21)&lt;1),COUNTIF($B$2:$B$23,C$1),0)</f>
        <v>#N/A</v>
      </c>
      <c r="D22" s="61" t="e">
        <f t="shared" ref="D22:F22" si="32">IF(AND($B22=D$1,SUM(D2:D21)&lt;1),COUNTIF($B$2:$B$23,D$1),0)</f>
        <v>#N/A</v>
      </c>
      <c r="E22" s="61" t="e">
        <f t="shared" si="32"/>
        <v>#N/A</v>
      </c>
      <c r="F22" s="61" t="e">
        <f t="shared" si="32"/>
        <v>#N/A</v>
      </c>
      <c r="G22" s="60" t="e">
        <f t="shared" si="4"/>
        <v>#N/A</v>
      </c>
      <c r="H22" s="138" t="str">
        <f t="shared" si="5"/>
        <v/>
      </c>
      <c r="K22" s="61" t="str">
        <f t="shared" si="6"/>
        <v/>
      </c>
      <c r="L22" s="61" t="e">
        <f t="shared" si="24"/>
        <v>#N/A</v>
      </c>
      <c r="M22" s="61" t="str">
        <f t="shared" si="7"/>
        <v/>
      </c>
      <c r="O22" s="178"/>
      <c r="P22" s="6">
        <f t="shared" si="13"/>
        <v>21</v>
      </c>
      <c r="Q22" s="25" t="str">
        <f t="shared" si="8"/>
        <v/>
      </c>
      <c r="R22" s="25"/>
      <c r="S22" s="25" t="str">
        <f t="shared" si="2"/>
        <v/>
      </c>
      <c r="T22" s="25" t="e">
        <f t="shared" si="9"/>
        <v>#NUM!</v>
      </c>
      <c r="U22" s="25" t="str">
        <f t="shared" si="10"/>
        <v/>
      </c>
      <c r="V22" s="8" t="str">
        <f t="shared" si="11"/>
        <v/>
      </c>
      <c r="W22" s="190" t="s">
        <v>101</v>
      </c>
    </row>
    <row r="23" spans="1:23" s="61" customFormat="1">
      <c r="A23" s="61">
        <v>22</v>
      </c>
      <c r="B23" s="156" t="str">
        <f>IF(builder!N74&lt;&gt;"",builder!N74,"")</f>
        <v/>
      </c>
      <c r="C23" s="61" t="e">
        <f>IF(AND($B23=C$1,SUM(C2:C22)&lt;1),COUNTIF($B$2:$B$23,C$1),0)</f>
        <v>#N/A</v>
      </c>
      <c r="D23" s="61" t="e">
        <f t="shared" ref="D23:F23" si="33">IF(AND($B23=D$1,SUM(D2:D22)&lt;1),COUNTIF($B$2:$B$23,D$1),0)</f>
        <v>#N/A</v>
      </c>
      <c r="E23" s="61" t="e">
        <f t="shared" si="33"/>
        <v>#N/A</v>
      </c>
      <c r="F23" s="61" t="e">
        <f t="shared" si="33"/>
        <v>#N/A</v>
      </c>
      <c r="G23" s="60" t="e">
        <f t="shared" si="4"/>
        <v>#N/A</v>
      </c>
      <c r="H23" s="138" t="str">
        <f t="shared" si="5"/>
        <v/>
      </c>
      <c r="K23" s="61" t="str">
        <f t="shared" si="6"/>
        <v/>
      </c>
      <c r="L23" s="61" t="e">
        <f t="shared" si="24"/>
        <v>#N/A</v>
      </c>
      <c r="M23" s="61" t="str">
        <f t="shared" si="7"/>
        <v/>
      </c>
      <c r="O23" s="178"/>
      <c r="P23" s="6">
        <f t="shared" si="13"/>
        <v>22</v>
      </c>
      <c r="Q23" s="25" t="str">
        <f t="shared" si="8"/>
        <v/>
      </c>
      <c r="R23" s="25"/>
      <c r="S23" s="25" t="str">
        <f t="shared" si="2"/>
        <v/>
      </c>
      <c r="T23" s="25" t="e">
        <f t="shared" si="9"/>
        <v>#NUM!</v>
      </c>
      <c r="U23" s="25" t="str">
        <f t="shared" si="10"/>
        <v/>
      </c>
      <c r="V23" s="8" t="str">
        <f t="shared" si="11"/>
        <v/>
      </c>
      <c r="W23" s="190" t="s">
        <v>101</v>
      </c>
    </row>
    <row r="24" spans="1:23" s="24" customFormat="1">
      <c r="A24" s="61">
        <v>23</v>
      </c>
      <c r="B24" s="26" t="e">
        <f>IF(E24&lt;&gt;0,CONCATENATE(E1," x ",E24),"")</f>
        <v>#N/A</v>
      </c>
      <c r="C24" s="24" t="e">
        <f>SUM(C2:C23)</f>
        <v>#N/A</v>
      </c>
      <c r="D24" s="61" t="e">
        <f t="shared" ref="D24:F24" si="34">SUM(D2:D23)</f>
        <v>#N/A</v>
      </c>
      <c r="E24" s="61" t="e">
        <f t="shared" si="34"/>
        <v>#N/A</v>
      </c>
      <c r="F24" s="61" t="e">
        <f t="shared" si="34"/>
        <v>#N/A</v>
      </c>
      <c r="G24" s="60" t="e">
        <f t="shared" si="4"/>
        <v>#N/A</v>
      </c>
      <c r="H24" s="56"/>
      <c r="K24" s="24" t="e">
        <f>IF(B24&lt;&gt;"",A24,"")</f>
        <v>#N/A</v>
      </c>
      <c r="L24" s="61" t="e">
        <f t="shared" si="24"/>
        <v>#N/A</v>
      </c>
      <c r="M24" s="61" t="str">
        <f t="shared" si="7"/>
        <v/>
      </c>
      <c r="O24" s="178"/>
      <c r="P24" s="6">
        <f t="shared" si="13"/>
        <v>23</v>
      </c>
      <c r="Q24" s="25" t="str">
        <f t="shared" si="8"/>
        <v/>
      </c>
      <c r="R24" s="25"/>
      <c r="S24" s="25" t="str">
        <f t="shared" si="2"/>
        <v/>
      </c>
      <c r="T24" s="25" t="e">
        <f t="shared" si="9"/>
        <v>#NUM!</v>
      </c>
      <c r="U24" s="25" t="str">
        <f t="shared" si="10"/>
        <v/>
      </c>
      <c r="V24" s="8" t="str">
        <f t="shared" si="11"/>
        <v/>
      </c>
      <c r="W24" s="190" t="s">
        <v>101</v>
      </c>
    </row>
    <row r="25" spans="1:23" s="24" customFormat="1">
      <c r="A25" s="61">
        <v>24</v>
      </c>
      <c r="B25" s="26" t="e">
        <f>IF(F24&lt;&gt;0,CONCATENATE(F1," x ",F24),"")</f>
        <v>#N/A</v>
      </c>
      <c r="K25" s="24" t="e">
        <f t="shared" ref="K25:K26" si="35">IF(B25&lt;&gt;"",A25,"")</f>
        <v>#N/A</v>
      </c>
      <c r="L25" s="61" t="e">
        <f t="shared" si="24"/>
        <v>#N/A</v>
      </c>
      <c r="M25" s="61" t="str">
        <f t="shared" si="7"/>
        <v/>
      </c>
      <c r="O25" s="178"/>
      <c r="P25" s="6">
        <f t="shared" si="13"/>
        <v>24</v>
      </c>
      <c r="Q25" s="25" t="str">
        <f t="shared" si="8"/>
        <v/>
      </c>
      <c r="R25" s="25"/>
      <c r="S25" s="25" t="str">
        <f t="shared" si="2"/>
        <v/>
      </c>
      <c r="T25" s="25" t="e">
        <f t="shared" si="9"/>
        <v>#NUM!</v>
      </c>
      <c r="U25" s="25" t="str">
        <f t="shared" si="10"/>
        <v/>
      </c>
      <c r="V25" s="8" t="str">
        <f t="shared" si="11"/>
        <v/>
      </c>
      <c r="W25" s="190" t="s">
        <v>101</v>
      </c>
    </row>
    <row r="26" spans="1:23" s="24" customFormat="1">
      <c r="A26" s="61">
        <v>25</v>
      </c>
      <c r="B26" s="26" t="e">
        <f>IF(D24&lt;&gt;0,CONCATENATE(D1," x ",D24),"")</f>
        <v>#N/A</v>
      </c>
      <c r="K26" s="24" t="e">
        <f t="shared" si="35"/>
        <v>#N/A</v>
      </c>
      <c r="L26" s="61" t="e">
        <f t="shared" si="24"/>
        <v>#N/A</v>
      </c>
      <c r="M26" s="61" t="str">
        <f t="shared" si="7"/>
        <v/>
      </c>
      <c r="O26" s="178"/>
      <c r="P26" s="6">
        <f t="shared" si="13"/>
        <v>25</v>
      </c>
      <c r="Q26" s="25" t="str">
        <f t="shared" si="8"/>
        <v/>
      </c>
      <c r="R26" s="25"/>
      <c r="S26" s="25" t="str">
        <f t="shared" si="2"/>
        <v/>
      </c>
      <c r="T26" s="25" t="e">
        <f t="shared" si="9"/>
        <v>#NUM!</v>
      </c>
      <c r="U26" s="25" t="str">
        <f t="shared" si="10"/>
        <v/>
      </c>
      <c r="V26" s="8" t="str">
        <f t="shared" si="11"/>
        <v/>
      </c>
      <c r="W26" s="190" t="s">
        <v>101</v>
      </c>
    </row>
    <row r="27" spans="1:23" s="24" customFormat="1">
      <c r="A27" s="61">
        <v>26</v>
      </c>
      <c r="B27" s="26" t="e">
        <f>IF(C24&lt;&gt;0,CONCATENATE(C1," (",builder!B111,") x ",C24),"")</f>
        <v>#N/A</v>
      </c>
      <c r="K27" s="24" t="e">
        <f>IF(B27&lt;&gt;"",A27,"")</f>
        <v>#N/A</v>
      </c>
      <c r="L27" s="61" t="e">
        <f t="shared" si="24"/>
        <v>#N/A</v>
      </c>
      <c r="M27" s="61" t="str">
        <f t="shared" si="7"/>
        <v/>
      </c>
      <c r="O27" s="178"/>
      <c r="P27" s="6">
        <f t="shared" si="13"/>
        <v>26</v>
      </c>
      <c r="Q27" s="25" t="str">
        <f t="shared" si="8"/>
        <v/>
      </c>
      <c r="R27" s="25"/>
      <c r="S27" s="25" t="str">
        <f t="shared" si="2"/>
        <v/>
      </c>
      <c r="T27" s="25" t="e">
        <f t="shared" si="9"/>
        <v>#NUM!</v>
      </c>
      <c r="U27" s="25" t="str">
        <f t="shared" si="10"/>
        <v/>
      </c>
      <c r="V27" s="8" t="str">
        <f t="shared" si="11"/>
        <v/>
      </c>
    </row>
    <row r="28" spans="1:23">
      <c r="B28" s="24"/>
      <c r="G28" s="24"/>
      <c r="H28" s="24"/>
      <c r="I28" s="24"/>
      <c r="J28" s="24"/>
      <c r="K28" s="24"/>
      <c r="L28" s="24"/>
      <c r="M28" s="24"/>
      <c r="P28" s="6">
        <f t="shared" si="13"/>
        <v>27</v>
      </c>
      <c r="Q28" s="25" t="s">
        <v>617</v>
      </c>
      <c r="R28" s="187" t="s">
        <v>101</v>
      </c>
      <c r="S28" s="25">
        <f t="shared" si="2"/>
        <v>27</v>
      </c>
      <c r="T28" s="25" t="e">
        <f t="shared" si="9"/>
        <v>#NUM!</v>
      </c>
      <c r="U28" s="25" t="str">
        <f t="shared" si="10"/>
        <v/>
      </c>
      <c r="V28" s="8" t="str">
        <f t="shared" si="11"/>
        <v/>
      </c>
    </row>
    <row r="29" spans="1:23" s="24" customFormat="1">
      <c r="O29" s="178"/>
      <c r="P29" s="6">
        <f t="shared" si="13"/>
        <v>28</v>
      </c>
      <c r="Q29" s="25" t="str">
        <f>print!B104</f>
        <v/>
      </c>
      <c r="R29" s="25" t="str">
        <f>print!B105</f>
        <v/>
      </c>
      <c r="S29" s="25" t="str">
        <f t="shared" si="2"/>
        <v/>
      </c>
      <c r="T29" s="25" t="e">
        <f t="shared" si="9"/>
        <v>#NUM!</v>
      </c>
      <c r="U29" s="25" t="str">
        <f t="shared" si="10"/>
        <v/>
      </c>
      <c r="V29" s="8" t="str">
        <f t="shared" si="11"/>
        <v/>
      </c>
    </row>
    <row r="30" spans="1:23">
      <c r="B30" s="24" t="s">
        <v>828</v>
      </c>
      <c r="G30" s="24" t="s">
        <v>194</v>
      </c>
      <c r="H30" s="24" t="str">
        <f>builder!B111</f>
        <v>None</v>
      </c>
      <c r="I30" s="24"/>
      <c r="J30" s="24"/>
      <c r="L30" s="24" t="s">
        <v>617</v>
      </c>
      <c r="M30" s="24"/>
      <c r="P30" s="6">
        <f t="shared" si="13"/>
        <v>29</v>
      </c>
      <c r="Q30" s="25" t="str">
        <f>print!B107</f>
        <v/>
      </c>
      <c r="R30" s="25" t="str">
        <f>print!B108</f>
        <v/>
      </c>
      <c r="S30" s="25" t="str">
        <f t="shared" si="2"/>
        <v/>
      </c>
      <c r="T30" s="25" t="e">
        <f t="shared" si="9"/>
        <v>#NUM!</v>
      </c>
      <c r="U30" s="25" t="str">
        <f t="shared" si="10"/>
        <v/>
      </c>
      <c r="V30" s="8" t="str">
        <f t="shared" si="11"/>
        <v/>
      </c>
    </row>
    <row r="31" spans="1:23">
      <c r="A31" s="24">
        <v>1</v>
      </c>
      <c r="B31" s="52" t="str">
        <f>IF(styles!H45&lt;&gt;"",styles!H45,"")</f>
        <v/>
      </c>
      <c r="C31" s="52" t="str">
        <f>IF(B31&lt;&gt;"",A31,"")</f>
        <v/>
      </c>
      <c r="D31" s="52">
        <f>SMALL($C$31:$C$40,A31)</f>
        <v>4</v>
      </c>
      <c r="E31" s="52" t="str">
        <f>IF(ISERROR(D31),"",VLOOKUP(D31,$A$31:$B$40,2))</f>
        <v>Legend</v>
      </c>
      <c r="F31">
        <v>1</v>
      </c>
      <c r="G31" s="52" t="str">
        <f>IF(builder!B117&lt;&gt;"",builder!B117,IF(AND(builder!$B$111=builder!$AB$115,builder!G132&lt;&gt;""),builder!G132,""))</f>
        <v/>
      </c>
      <c r="H31" s="52" t="str">
        <f>IF(G31&lt;&gt;"",F31,"")</f>
        <v/>
      </c>
      <c r="I31" s="52" t="e">
        <f>SMALL($H$31:$H$37,F31)</f>
        <v>#NUM!</v>
      </c>
      <c r="J31" s="52" t="str">
        <f>IF(ISERROR(I31),"",VLOOKUP(I31,$F$31:$G$37,2))</f>
        <v/>
      </c>
      <c r="K31" s="24">
        <v>1</v>
      </c>
      <c r="L31" s="24" t="str">
        <f>IF(builder!B106&lt;&gt;"",builder!B106,"")</f>
        <v/>
      </c>
      <c r="M31" s="52" t="str">
        <f>IF(L31&lt;&gt;"",K31,"")</f>
        <v/>
      </c>
      <c r="N31" s="52" t="e">
        <f>SMALL($M$31:$M$33,K31)</f>
        <v>#NUM!</v>
      </c>
      <c r="O31" s="52" t="str">
        <f>IF(ISERROR(N31),"",VLOOKUP(N31,$K$31:$L$37,2))</f>
        <v/>
      </c>
      <c r="P31" s="6">
        <f t="shared" si="13"/>
        <v>30</v>
      </c>
      <c r="Q31" s="25" t="str">
        <f>print!B110</f>
        <v/>
      </c>
      <c r="R31" s="25" t="str">
        <f>print!B111</f>
        <v/>
      </c>
      <c r="S31" s="25" t="str">
        <f t="shared" si="2"/>
        <v/>
      </c>
      <c r="T31" s="25" t="e">
        <f t="shared" si="9"/>
        <v>#NUM!</v>
      </c>
      <c r="U31" s="25" t="str">
        <f t="shared" si="10"/>
        <v/>
      </c>
      <c r="V31" s="8" t="str">
        <f t="shared" si="11"/>
        <v/>
      </c>
    </row>
    <row r="32" spans="1:23">
      <c r="A32" s="24">
        <v>2</v>
      </c>
      <c r="B32" s="52" t="str">
        <f>IF(styles!H46&lt;&gt;"",styles!H46,"")</f>
        <v/>
      </c>
      <c r="C32" s="52" t="str">
        <f t="shared" ref="C32:C50" si="36">IF(B32&lt;&gt;"",A32,"")</f>
        <v/>
      </c>
      <c r="D32" s="52">
        <f t="shared" ref="D32:D40" si="37">SMALL($C$31:$C$40,A32)</f>
        <v>5</v>
      </c>
      <c r="E32" s="52" t="str">
        <f t="shared" ref="E32:E40" si="38">IF(ISERROR(D32),"",VLOOKUP(D32,$A$31:$B$40,2))</f>
        <v>Mad Luck</v>
      </c>
      <c r="F32">
        <v>2</v>
      </c>
      <c r="G32" s="52" t="str">
        <f>IF(builder!B118&lt;&gt;"",builder!B118,IF(AND(builder!$B$111=builder!$AB$115,builder!G133&lt;&gt;""),builder!G133,""))</f>
        <v/>
      </c>
      <c r="H32" s="52" t="str">
        <f t="shared" ref="H32:H37" si="39">IF(G32&lt;&gt;"",F32,"")</f>
        <v/>
      </c>
      <c r="I32" s="52" t="e">
        <f t="shared" ref="I32:I37" si="40">SMALL($H$31:$H$37,F32)</f>
        <v>#NUM!</v>
      </c>
      <c r="J32" s="52" t="str">
        <f t="shared" ref="J32:J37" si="41">IF(ISERROR(I32),"",VLOOKUP(I32,$F$31:$G$37,2))</f>
        <v/>
      </c>
      <c r="K32" s="24">
        <v>2</v>
      </c>
      <c r="L32" s="178" t="str">
        <f>IF(builder!B107&lt;&gt;"",builder!B107,"")</f>
        <v/>
      </c>
      <c r="M32" s="52" t="str">
        <f t="shared" ref="M32:M33" si="42">IF(L32&lt;&gt;"",K32,"")</f>
        <v/>
      </c>
      <c r="N32" s="52" t="e">
        <f t="shared" ref="N32:N33" si="43">SMALL($M$31:$M$33,K32)</f>
        <v>#NUM!</v>
      </c>
      <c r="O32" s="52" t="str">
        <f t="shared" ref="O32:O33" si="44">IF(ISERROR(N32),"",VLOOKUP(N32,$K$31:$L$37,2))</f>
        <v/>
      </c>
      <c r="P32" s="6">
        <f t="shared" si="13"/>
        <v>31</v>
      </c>
      <c r="Q32" s="25" t="str">
        <f>print!B113</f>
        <v/>
      </c>
      <c r="R32" s="25" t="str">
        <f>print!B114</f>
        <v/>
      </c>
      <c r="S32" s="25" t="str">
        <f t="shared" si="2"/>
        <v/>
      </c>
      <c r="T32" s="25" t="e">
        <f t="shared" si="9"/>
        <v>#NUM!</v>
      </c>
      <c r="U32" s="25" t="str">
        <f t="shared" si="10"/>
        <v/>
      </c>
      <c r="V32" s="8" t="str">
        <f t="shared" si="11"/>
        <v/>
      </c>
    </row>
    <row r="33" spans="1:22">
      <c r="A33" s="24">
        <v>3</v>
      </c>
      <c r="B33" s="52" t="str">
        <f>IF(styles!H47&lt;&gt;"",styles!H47,"")</f>
        <v/>
      </c>
      <c r="C33" s="52" t="str">
        <f t="shared" si="36"/>
        <v/>
      </c>
      <c r="D33" s="52">
        <f t="shared" si="37"/>
        <v>6</v>
      </c>
      <c r="E33" s="52" t="str">
        <f t="shared" si="38"/>
        <v>Mythic</v>
      </c>
      <c r="F33">
        <v>3</v>
      </c>
      <c r="G33" s="52" t="str">
        <f>IF(builder!B119&lt;&gt;"",builder!B119,IF(AND(builder!$B$111=builder!$AB$115,builder!G134&lt;&gt;""),builder!G134,""))</f>
        <v/>
      </c>
      <c r="H33" s="52" t="str">
        <f t="shared" si="39"/>
        <v/>
      </c>
      <c r="I33" s="52" t="e">
        <f t="shared" si="40"/>
        <v>#NUM!</v>
      </c>
      <c r="J33" s="52" t="str">
        <f t="shared" si="41"/>
        <v/>
      </c>
      <c r="K33" s="24">
        <v>3</v>
      </c>
      <c r="L33" s="178" t="str">
        <f>IF(builder!B108&lt;&gt;"",builder!B108,"")</f>
        <v/>
      </c>
      <c r="M33" s="52" t="str">
        <f t="shared" si="42"/>
        <v/>
      </c>
      <c r="N33" s="52" t="e">
        <f t="shared" si="43"/>
        <v>#NUM!</v>
      </c>
      <c r="O33" s="52" t="str">
        <f t="shared" si="44"/>
        <v/>
      </c>
      <c r="P33" s="6">
        <f t="shared" si="13"/>
        <v>32</v>
      </c>
      <c r="Q33" s="25" t="str">
        <f>print!B115</f>
        <v/>
      </c>
      <c r="R33" s="25" t="str">
        <f>print!B116</f>
        <v/>
      </c>
      <c r="S33" s="25" t="str">
        <f t="shared" si="2"/>
        <v/>
      </c>
      <c r="T33" s="25" t="e">
        <f t="shared" si="9"/>
        <v>#NUM!</v>
      </c>
      <c r="U33" s="25" t="str">
        <f t="shared" si="10"/>
        <v/>
      </c>
      <c r="V33" s="8" t="str">
        <f t="shared" si="11"/>
        <v/>
      </c>
    </row>
    <row r="34" spans="1:22">
      <c r="A34" s="24">
        <v>4</v>
      </c>
      <c r="B34" s="52" t="str">
        <f>IF(styles!H48&lt;&gt;"",styles!H48,"")</f>
        <v>Legend</v>
      </c>
      <c r="C34" s="52">
        <f t="shared" si="36"/>
        <v>4</v>
      </c>
      <c r="D34" s="52" t="e">
        <f t="shared" si="37"/>
        <v>#NUM!</v>
      </c>
      <c r="E34" s="52" t="str">
        <f t="shared" si="38"/>
        <v/>
      </c>
      <c r="F34">
        <v>4</v>
      </c>
      <c r="G34" s="52" t="str">
        <f>IF(builder!B120&lt;&gt;"",builder!B120,IF(AND(builder!$B$111=builder!$AB$115,builder!G135&lt;&gt;""),builder!G135,""))</f>
        <v/>
      </c>
      <c r="H34" s="52" t="str">
        <f t="shared" si="39"/>
        <v/>
      </c>
      <c r="I34" s="52" t="e">
        <f t="shared" si="40"/>
        <v>#NUM!</v>
      </c>
      <c r="J34" s="52" t="str">
        <f t="shared" si="41"/>
        <v/>
      </c>
      <c r="K34" s="24"/>
      <c r="L34" s="24"/>
      <c r="M34" s="24"/>
      <c r="P34" s="6">
        <f t="shared" si="13"/>
        <v>33</v>
      </c>
      <c r="Q34" s="25" t="str">
        <f>print!B117</f>
        <v/>
      </c>
      <c r="R34" s="25" t="str">
        <f>print!B118</f>
        <v/>
      </c>
      <c r="S34" s="25" t="str">
        <f t="shared" ref="S34:S56" si="45">IF(Q34&lt;&gt;"",P34,"")</f>
        <v/>
      </c>
      <c r="T34" s="25" t="e">
        <f t="shared" si="9"/>
        <v>#NUM!</v>
      </c>
      <c r="U34" s="25" t="str">
        <f t="shared" si="10"/>
        <v/>
      </c>
      <c r="V34" s="8" t="str">
        <f t="shared" si="11"/>
        <v/>
      </c>
    </row>
    <row r="35" spans="1:22">
      <c r="A35" s="24">
        <v>5</v>
      </c>
      <c r="B35" s="52" t="str">
        <f>IF(styles!H49&lt;&gt;"",styles!H49,"")</f>
        <v>Mad Luck</v>
      </c>
      <c r="C35" s="52">
        <f t="shared" si="36"/>
        <v>5</v>
      </c>
      <c r="D35" s="52" t="e">
        <f t="shared" si="37"/>
        <v>#NUM!</v>
      </c>
      <c r="E35" s="52" t="str">
        <f t="shared" si="38"/>
        <v/>
      </c>
      <c r="F35">
        <v>5</v>
      </c>
      <c r="G35" s="52" t="str">
        <f>IF(builder!B121&lt;&gt;"",builder!B121,IF(AND(builder!$B$111=builder!$AB$115,builder!G136&lt;&gt;""),builder!G136,""))</f>
        <v/>
      </c>
      <c r="H35" s="52" t="str">
        <f t="shared" si="39"/>
        <v/>
      </c>
      <c r="I35" s="52" t="e">
        <f t="shared" si="40"/>
        <v>#NUM!</v>
      </c>
      <c r="J35" s="52" t="str">
        <f t="shared" si="41"/>
        <v/>
      </c>
      <c r="K35" s="24"/>
      <c r="L35" s="24"/>
      <c r="M35" s="24"/>
      <c r="P35" s="6">
        <f t="shared" si="13"/>
        <v>34</v>
      </c>
      <c r="Q35" s="25" t="s">
        <v>194</v>
      </c>
      <c r="R35" s="25" t="str">
        <f>print!B123</f>
        <v>None</v>
      </c>
      <c r="S35" s="25">
        <f t="shared" si="45"/>
        <v>34</v>
      </c>
      <c r="T35" s="25" t="e">
        <f t="shared" si="9"/>
        <v>#NUM!</v>
      </c>
      <c r="U35" s="25" t="str">
        <f t="shared" si="10"/>
        <v/>
      </c>
      <c r="V35" s="8" t="str">
        <f t="shared" si="11"/>
        <v/>
      </c>
    </row>
    <row r="36" spans="1:22">
      <c r="A36" s="24">
        <v>6</v>
      </c>
      <c r="B36" s="52" t="str">
        <f>IF(styles!H50&lt;&gt;"",styles!H50,"")</f>
        <v>Mythic</v>
      </c>
      <c r="C36" s="52">
        <f t="shared" si="36"/>
        <v>6</v>
      </c>
      <c r="D36" s="52" t="e">
        <f t="shared" si="37"/>
        <v>#NUM!</v>
      </c>
      <c r="E36" s="52" t="str">
        <f t="shared" si="38"/>
        <v/>
      </c>
      <c r="F36">
        <v>6</v>
      </c>
      <c r="G36" s="52" t="str">
        <f>IF(builder!B122&lt;&gt;"",builder!B122,IF(AND(builder!$B$111=builder!$AB$115,builder!G137&lt;&gt;""),builder!G137,""))</f>
        <v/>
      </c>
      <c r="H36" s="52" t="str">
        <f t="shared" si="39"/>
        <v/>
      </c>
      <c r="I36" s="52" t="e">
        <f t="shared" si="40"/>
        <v>#NUM!</v>
      </c>
      <c r="J36" s="52" t="str">
        <f t="shared" si="41"/>
        <v/>
      </c>
      <c r="K36" s="24"/>
      <c r="L36" s="24"/>
      <c r="M36" s="24"/>
      <c r="P36" s="6">
        <f t="shared" si="13"/>
        <v>35</v>
      </c>
      <c r="Q36" s="52" t="str">
        <f>J31</f>
        <v/>
      </c>
      <c r="R36" s="52" t="str">
        <f>print!B127</f>
        <v/>
      </c>
      <c r="S36" s="25" t="str">
        <f t="shared" si="45"/>
        <v/>
      </c>
      <c r="T36" s="25" t="e">
        <f t="shared" si="9"/>
        <v>#NUM!</v>
      </c>
      <c r="U36" s="25" t="str">
        <f t="shared" si="10"/>
        <v/>
      </c>
      <c r="V36" s="8" t="str">
        <f t="shared" si="11"/>
        <v/>
      </c>
    </row>
    <row r="37" spans="1:22">
      <c r="A37" s="24">
        <v>7</v>
      </c>
      <c r="B37" s="52" t="str">
        <f>IF(styles!H51&lt;&gt;"",styles!H51,"")</f>
        <v/>
      </c>
      <c r="C37" s="52" t="str">
        <f t="shared" si="36"/>
        <v/>
      </c>
      <c r="D37" s="52" t="e">
        <f t="shared" si="37"/>
        <v>#NUM!</v>
      </c>
      <c r="E37" s="52" t="str">
        <f t="shared" si="38"/>
        <v/>
      </c>
      <c r="F37">
        <v>7</v>
      </c>
      <c r="G37" s="52" t="str">
        <f>IF(builder!B123&lt;&gt;"",builder!B123,IF(AND(builder!$B$111=builder!$AB$115,builder!G138&lt;&gt;""),builder!G138,""))</f>
        <v/>
      </c>
      <c r="H37" s="52" t="str">
        <f t="shared" si="39"/>
        <v/>
      </c>
      <c r="I37" s="52" t="e">
        <f t="shared" si="40"/>
        <v>#NUM!</v>
      </c>
      <c r="J37" s="52" t="str">
        <f t="shared" si="41"/>
        <v/>
      </c>
      <c r="K37" s="24"/>
      <c r="L37" s="24"/>
      <c r="M37" s="24"/>
      <c r="P37" s="6">
        <f t="shared" si="13"/>
        <v>36</v>
      </c>
      <c r="Q37" s="52" t="str">
        <f t="shared" ref="Q37:Q42" si="46">J32</f>
        <v/>
      </c>
      <c r="R37" s="52" t="str">
        <f>print!B129</f>
        <v/>
      </c>
      <c r="S37" s="25" t="str">
        <f t="shared" si="45"/>
        <v/>
      </c>
      <c r="T37" s="25" t="e">
        <f t="shared" si="9"/>
        <v>#NUM!</v>
      </c>
      <c r="U37" s="25" t="str">
        <f t="shared" si="10"/>
        <v/>
      </c>
      <c r="V37" s="8" t="str">
        <f t="shared" si="11"/>
        <v/>
      </c>
    </row>
    <row r="38" spans="1:22">
      <c r="A38" s="24">
        <v>8</v>
      </c>
      <c r="B38" s="52" t="str">
        <f>IF(styles!H52&lt;&gt;"",styles!H52,"")</f>
        <v/>
      </c>
      <c r="C38" s="52" t="str">
        <f t="shared" si="36"/>
        <v/>
      </c>
      <c r="D38" s="52" t="e">
        <f t="shared" si="37"/>
        <v>#NUM!</v>
      </c>
      <c r="E38" s="53" t="str">
        <f t="shared" si="38"/>
        <v/>
      </c>
      <c r="F38">
        <v>1</v>
      </c>
      <c r="G38" s="53" t="str">
        <f>IF(builder!G117&lt;&gt;"",builder!G117,IF(AND(builder!B125&lt;&gt;"",OR(builder!$B$111=builder!$AB$115,builder!$B$111=builder!$AC$115)),builder!B125,""))</f>
        <v/>
      </c>
      <c r="H38" s="53" t="str">
        <f>IF(G38&lt;&gt;"",F38,"")</f>
        <v/>
      </c>
      <c r="I38" s="53" t="e">
        <f>SMALL($H$38:$H$51,F38)</f>
        <v>#NUM!</v>
      </c>
      <c r="J38" s="53" t="str">
        <f>IF(ISERROR(I38),"",VLOOKUP(I38,$F$38:$G$51,2))</f>
        <v/>
      </c>
      <c r="K38" s="24"/>
      <c r="L38" s="24"/>
      <c r="M38" s="24"/>
      <c r="P38" s="6">
        <f t="shared" si="13"/>
        <v>37</v>
      </c>
      <c r="Q38" s="52" t="str">
        <f t="shared" si="46"/>
        <v/>
      </c>
      <c r="R38" s="52" t="str">
        <f>print!B131</f>
        <v/>
      </c>
      <c r="S38" s="25" t="str">
        <f t="shared" si="45"/>
        <v/>
      </c>
      <c r="T38" s="25" t="e">
        <f t="shared" si="9"/>
        <v>#NUM!</v>
      </c>
      <c r="U38" s="25" t="str">
        <f t="shared" si="10"/>
        <v/>
      </c>
      <c r="V38" s="8" t="str">
        <f t="shared" si="11"/>
        <v/>
      </c>
    </row>
    <row r="39" spans="1:22">
      <c r="A39" s="24">
        <v>9</v>
      </c>
      <c r="B39" s="52" t="str">
        <f>IF(styles!H53&lt;&gt;"",styles!H53,"")</f>
        <v/>
      </c>
      <c r="C39" s="52" t="str">
        <f t="shared" si="36"/>
        <v/>
      </c>
      <c r="D39" s="52" t="e">
        <f t="shared" si="37"/>
        <v>#NUM!</v>
      </c>
      <c r="E39" s="53" t="str">
        <f t="shared" si="38"/>
        <v/>
      </c>
      <c r="F39">
        <v>2</v>
      </c>
      <c r="G39" s="53" t="str">
        <f>IF(builder!G118&lt;&gt;"",builder!G118,IF(AND(builder!B126&lt;&gt;"",OR(builder!$B$111=builder!$AB$115,builder!$B$111=builder!$AC$115)),builder!B126,""))</f>
        <v/>
      </c>
      <c r="H39" s="53" t="str">
        <f t="shared" ref="H39:H50" si="47">IF(G39&lt;&gt;"",F39,"")</f>
        <v/>
      </c>
      <c r="I39" s="53" t="e">
        <f t="shared" ref="I39:I51" si="48">SMALL($H$38:$H$51,F39)</f>
        <v>#NUM!</v>
      </c>
      <c r="J39" s="53" t="str">
        <f t="shared" ref="J39:J51" si="49">IF(ISERROR(I39),"",VLOOKUP(I39,$F$38:$G$51,2))</f>
        <v/>
      </c>
      <c r="K39" s="24"/>
      <c r="L39" s="24"/>
      <c r="M39" s="24"/>
      <c r="P39" s="6">
        <f t="shared" si="13"/>
        <v>38</v>
      </c>
      <c r="Q39" s="52" t="str">
        <f t="shared" si="46"/>
        <v/>
      </c>
      <c r="R39" s="52" t="str">
        <f>print!B133</f>
        <v/>
      </c>
      <c r="S39" s="25" t="str">
        <f t="shared" si="45"/>
        <v/>
      </c>
      <c r="T39" s="25" t="e">
        <f t="shared" si="9"/>
        <v>#NUM!</v>
      </c>
      <c r="U39" s="25" t="str">
        <f t="shared" si="10"/>
        <v/>
      </c>
      <c r="V39" s="8" t="str">
        <f t="shared" si="11"/>
        <v/>
      </c>
    </row>
    <row r="40" spans="1:22">
      <c r="A40" s="24">
        <v>10</v>
      </c>
      <c r="B40" s="52" t="str">
        <f>IF(styles!H54&lt;&gt;"",styles!H54,"")</f>
        <v/>
      </c>
      <c r="C40" s="52" t="str">
        <f t="shared" si="36"/>
        <v/>
      </c>
      <c r="D40" s="52" t="e">
        <f t="shared" si="37"/>
        <v>#NUM!</v>
      </c>
      <c r="E40" s="53" t="str">
        <f t="shared" si="38"/>
        <v/>
      </c>
      <c r="F40">
        <v>3</v>
      </c>
      <c r="G40" s="53" t="str">
        <f>IF(builder!G119&lt;&gt;"",builder!G119,IF(AND(builder!B127&lt;&gt;"",OR(builder!$B$111=builder!$AB$115,builder!$B$111=builder!$AC$115)),builder!B127,""))</f>
        <v/>
      </c>
      <c r="H40" s="53" t="str">
        <f t="shared" si="47"/>
        <v/>
      </c>
      <c r="I40" s="53" t="e">
        <f t="shared" si="48"/>
        <v>#NUM!</v>
      </c>
      <c r="J40" s="53" t="str">
        <f>IF(ISERROR(I40),"",VLOOKUP(I40,$F$38:$G$51,2))</f>
        <v/>
      </c>
      <c r="K40" s="24"/>
      <c r="L40" s="24"/>
      <c r="M40" s="24"/>
      <c r="P40" s="6">
        <f t="shared" si="13"/>
        <v>39</v>
      </c>
      <c r="Q40" s="52" t="str">
        <f t="shared" si="46"/>
        <v/>
      </c>
      <c r="R40" s="52" t="str">
        <f>print!B135</f>
        <v/>
      </c>
      <c r="S40" s="25" t="str">
        <f t="shared" si="45"/>
        <v/>
      </c>
      <c r="T40" s="25" t="e">
        <f t="shared" si="9"/>
        <v>#NUM!</v>
      </c>
      <c r="U40" s="25" t="str">
        <f t="shared" si="10"/>
        <v/>
      </c>
      <c r="V40" s="8" t="str">
        <f t="shared" si="11"/>
        <v/>
      </c>
    </row>
    <row r="41" spans="1:22">
      <c r="A41" s="24">
        <v>1</v>
      </c>
      <c r="B41" s="53" t="str">
        <f>IF(styles!M45&lt;&gt;"",styles!M45,"")</f>
        <v/>
      </c>
      <c r="C41" s="53" t="str">
        <f t="shared" si="36"/>
        <v/>
      </c>
      <c r="D41" s="53">
        <f>SMALL($C$41:$C$50,A41)</f>
        <v>3</v>
      </c>
      <c r="E41" s="53" t="str">
        <f>IF(ISERROR(D41),"",VLOOKUP(D41,$A$41:$B$50,2))</f>
        <v>Greater Luck</v>
      </c>
      <c r="F41">
        <v>4</v>
      </c>
      <c r="G41" s="53" t="str">
        <f>IF(builder!G120&lt;&gt;"",builder!G120,IF(AND(builder!B128&lt;&gt;"",OR(builder!$B$111=builder!$AB$115,builder!$B$111=builder!$AC$115)),builder!B128,""))</f>
        <v/>
      </c>
      <c r="H41" s="53" t="str">
        <f t="shared" si="47"/>
        <v/>
      </c>
      <c r="I41" s="53" t="e">
        <f t="shared" si="48"/>
        <v>#NUM!</v>
      </c>
      <c r="J41" s="53" t="str">
        <f t="shared" si="49"/>
        <v/>
      </c>
      <c r="K41" s="24"/>
      <c r="L41" s="24"/>
      <c r="M41" s="24"/>
      <c r="P41" s="6">
        <f t="shared" si="13"/>
        <v>40</v>
      </c>
      <c r="Q41" s="52" t="str">
        <f t="shared" si="46"/>
        <v/>
      </c>
      <c r="R41" s="52" t="str">
        <f>print!B137</f>
        <v/>
      </c>
      <c r="S41" s="25" t="str">
        <f t="shared" si="45"/>
        <v/>
      </c>
      <c r="T41" s="25" t="e">
        <f t="shared" si="9"/>
        <v>#NUM!</v>
      </c>
      <c r="U41" s="25" t="str">
        <f t="shared" si="10"/>
        <v/>
      </c>
      <c r="V41" s="8" t="str">
        <f t="shared" si="11"/>
        <v/>
      </c>
    </row>
    <row r="42" spans="1:22">
      <c r="A42" s="24">
        <v>2</v>
      </c>
      <c r="B42" s="53" t="str">
        <f>IF(styles!M46&lt;&gt;"",styles!M46,"")</f>
        <v/>
      </c>
      <c r="C42" s="53" t="str">
        <f t="shared" si="36"/>
        <v/>
      </c>
      <c r="D42" s="53">
        <f t="shared" ref="D42:D50" si="50">SMALL($C$41:$C$50,A42)</f>
        <v>4</v>
      </c>
      <c r="E42" s="53" t="str">
        <f t="shared" ref="E42:E50" si="51">IF(ISERROR(D42),"",VLOOKUP(D42,$A$41:$B$50,2))</f>
        <v>Heroic</v>
      </c>
      <c r="F42">
        <v>5</v>
      </c>
      <c r="G42" s="53" t="str">
        <f>IF(builder!G121&lt;&gt;"",builder!G121,IF(AND(builder!B129&lt;&gt;"",OR(builder!$B$111=builder!$AB$115,builder!$B$111=builder!$AC$115)),builder!B129,""))</f>
        <v/>
      </c>
      <c r="H42" s="53" t="str">
        <f t="shared" si="47"/>
        <v/>
      </c>
      <c r="I42" s="53" t="e">
        <f t="shared" si="48"/>
        <v>#NUM!</v>
      </c>
      <c r="J42" s="53" t="str">
        <f t="shared" si="49"/>
        <v/>
      </c>
      <c r="K42" s="24"/>
      <c r="L42" s="24"/>
      <c r="M42" s="24"/>
      <c r="P42" s="6">
        <f t="shared" si="13"/>
        <v>41</v>
      </c>
      <c r="Q42" s="52" t="str">
        <f t="shared" si="46"/>
        <v/>
      </c>
      <c r="R42" s="52" t="str">
        <f>print!B139</f>
        <v/>
      </c>
      <c r="S42" s="25" t="str">
        <f t="shared" si="45"/>
        <v/>
      </c>
      <c r="T42" s="25" t="e">
        <f t="shared" si="9"/>
        <v>#NUM!</v>
      </c>
      <c r="U42" s="25" t="str">
        <f t="shared" si="10"/>
        <v/>
      </c>
      <c r="V42" s="8" t="str">
        <f t="shared" si="11"/>
        <v/>
      </c>
    </row>
    <row r="43" spans="1:22">
      <c r="A43" s="24">
        <v>3</v>
      </c>
      <c r="B43" s="53" t="str">
        <f>IF(styles!M47&lt;&gt;"",styles!M47,"")</f>
        <v>Greater Luck</v>
      </c>
      <c r="C43" s="53">
        <f t="shared" si="36"/>
        <v>3</v>
      </c>
      <c r="D43" s="53">
        <f t="shared" si="50"/>
        <v>8</v>
      </c>
      <c r="E43" s="53" t="str">
        <f t="shared" si="51"/>
        <v>Petty Luck</v>
      </c>
      <c r="F43">
        <v>6</v>
      </c>
      <c r="G43" s="53" t="str">
        <f>IF(builder!G122&lt;&gt;"",builder!G122,IF(AND(builder!B130&lt;&gt;"",OR(builder!$B$111=builder!$AB$115,builder!$B$111=builder!$AC$115)),builder!B130,""))</f>
        <v/>
      </c>
      <c r="H43" s="53" t="str">
        <f t="shared" si="47"/>
        <v/>
      </c>
      <c r="I43" s="53" t="e">
        <f t="shared" si="48"/>
        <v>#NUM!</v>
      </c>
      <c r="J43" s="53" t="str">
        <f t="shared" si="49"/>
        <v/>
      </c>
      <c r="K43" s="24"/>
      <c r="L43" s="24"/>
      <c r="M43" s="24"/>
      <c r="P43" s="6">
        <f t="shared" si="13"/>
        <v>42</v>
      </c>
      <c r="Q43" s="53" t="str">
        <f>J38</f>
        <v/>
      </c>
      <c r="R43" s="53" t="str">
        <f>print!B143</f>
        <v/>
      </c>
      <c r="S43" s="25" t="str">
        <f t="shared" si="45"/>
        <v/>
      </c>
      <c r="T43" s="25" t="e">
        <f t="shared" si="9"/>
        <v>#NUM!</v>
      </c>
      <c r="U43" s="25" t="str">
        <f t="shared" si="10"/>
        <v/>
      </c>
      <c r="V43" s="8" t="str">
        <f t="shared" si="11"/>
        <v/>
      </c>
    </row>
    <row r="44" spans="1:22">
      <c r="A44" s="24">
        <v>4</v>
      </c>
      <c r="B44" s="53" t="str">
        <f>IF(styles!M48&lt;&gt;"",styles!M48,"")</f>
        <v>Heroic</v>
      </c>
      <c r="C44" s="53">
        <f t="shared" si="36"/>
        <v>4</v>
      </c>
      <c r="D44" s="53" t="e">
        <f t="shared" si="50"/>
        <v>#NUM!</v>
      </c>
      <c r="E44" s="53" t="str">
        <f t="shared" si="51"/>
        <v/>
      </c>
      <c r="F44">
        <v>7</v>
      </c>
      <c r="G44" s="53" t="str">
        <f>IF(builder!G123&lt;&gt;"",builder!G123,IF(AND(builder!B131&lt;&gt;"",OR(builder!$B$111=builder!$AB$115,builder!$B$111=builder!$AC$115)),builder!B131,""))</f>
        <v/>
      </c>
      <c r="H44" s="53" t="str">
        <f t="shared" si="47"/>
        <v/>
      </c>
      <c r="I44" s="53" t="e">
        <f t="shared" si="48"/>
        <v>#NUM!</v>
      </c>
      <c r="J44" s="53" t="str">
        <f t="shared" si="49"/>
        <v/>
      </c>
      <c r="K44" s="24"/>
      <c r="L44" s="24"/>
      <c r="M44" s="24"/>
      <c r="P44" s="6">
        <f t="shared" si="13"/>
        <v>43</v>
      </c>
      <c r="Q44" s="53" t="str">
        <f t="shared" ref="Q44:Q56" si="52">J39</f>
        <v/>
      </c>
      <c r="R44" s="53" t="str">
        <f>print!B145</f>
        <v/>
      </c>
      <c r="S44" s="25" t="str">
        <f t="shared" si="45"/>
        <v/>
      </c>
      <c r="T44" s="25" t="e">
        <f t="shared" si="9"/>
        <v>#NUM!</v>
      </c>
      <c r="U44" s="25" t="str">
        <f t="shared" si="10"/>
        <v/>
      </c>
      <c r="V44" s="8" t="str">
        <f t="shared" si="11"/>
        <v/>
      </c>
    </row>
    <row r="45" spans="1:22">
      <c r="A45">
        <v>5</v>
      </c>
      <c r="B45" s="53" t="str">
        <f>IF(styles!M49&lt;&gt;"",styles!M49,"")</f>
        <v/>
      </c>
      <c r="C45" s="53" t="str">
        <f t="shared" si="36"/>
        <v/>
      </c>
      <c r="D45" s="53" t="e">
        <f t="shared" si="50"/>
        <v>#NUM!</v>
      </c>
      <c r="E45" s="53" t="str">
        <f t="shared" si="51"/>
        <v/>
      </c>
      <c r="F45">
        <v>8</v>
      </c>
      <c r="G45" s="53" t="str">
        <f>IF(builder!G124&lt;&gt;"",builder!G124,IF(AND(builder!B132&lt;&gt;"",OR(builder!$B$111=builder!$AB$115,builder!$B$111=builder!$AC$115)),builder!B132,""))</f>
        <v/>
      </c>
      <c r="H45" s="53" t="str">
        <f t="shared" si="47"/>
        <v/>
      </c>
      <c r="I45" s="53" t="e">
        <f t="shared" si="48"/>
        <v>#NUM!</v>
      </c>
      <c r="J45" s="53" t="str">
        <f t="shared" si="49"/>
        <v/>
      </c>
      <c r="K45" s="24"/>
      <c r="L45" s="24"/>
      <c r="M45" s="24"/>
      <c r="P45" s="6">
        <f t="shared" si="13"/>
        <v>44</v>
      </c>
      <c r="Q45" s="53" t="str">
        <f t="shared" si="52"/>
        <v/>
      </c>
      <c r="R45" s="53" t="str">
        <f>print!B147</f>
        <v/>
      </c>
      <c r="S45" s="25" t="str">
        <f t="shared" si="45"/>
        <v/>
      </c>
      <c r="T45" s="25" t="e">
        <f t="shared" si="9"/>
        <v>#NUM!</v>
      </c>
      <c r="U45" s="25" t="str">
        <f t="shared" si="10"/>
        <v/>
      </c>
      <c r="V45" s="8" t="str">
        <f t="shared" si="11"/>
        <v/>
      </c>
    </row>
    <row r="46" spans="1:22">
      <c r="A46">
        <v>6</v>
      </c>
      <c r="B46" s="53" t="str">
        <f>IF(styles!M50&lt;&gt;"",styles!M50,"")</f>
        <v/>
      </c>
      <c r="C46" s="53" t="str">
        <f t="shared" si="36"/>
        <v/>
      </c>
      <c r="D46" s="53" t="e">
        <f t="shared" si="50"/>
        <v>#NUM!</v>
      </c>
      <c r="E46" s="53" t="str">
        <f t="shared" si="51"/>
        <v/>
      </c>
      <c r="F46">
        <v>9</v>
      </c>
      <c r="G46" s="53" t="str">
        <f>IF(builder!G125&lt;&gt;"",builder!G125,IF(AND(builder!B133&lt;&gt;"",OR(builder!$B$111=builder!$AB$115,builder!$B$111=builder!$AC$115)),builder!B133,""))</f>
        <v/>
      </c>
      <c r="H46" s="53" t="str">
        <f t="shared" si="47"/>
        <v/>
      </c>
      <c r="I46" s="53" t="e">
        <f t="shared" si="48"/>
        <v>#NUM!</v>
      </c>
      <c r="J46" s="53" t="str">
        <f t="shared" si="49"/>
        <v/>
      </c>
      <c r="K46" s="24"/>
      <c r="L46" s="24"/>
      <c r="M46" s="24"/>
      <c r="P46" s="6">
        <f t="shared" si="13"/>
        <v>45</v>
      </c>
      <c r="Q46" s="53" t="str">
        <f t="shared" si="52"/>
        <v/>
      </c>
      <c r="R46" s="53" t="str">
        <f>print!B149</f>
        <v/>
      </c>
      <c r="S46" s="25" t="str">
        <f t="shared" si="45"/>
        <v/>
      </c>
      <c r="T46" s="25" t="e">
        <f t="shared" si="9"/>
        <v>#NUM!</v>
      </c>
      <c r="U46" s="25" t="str">
        <f t="shared" si="10"/>
        <v/>
      </c>
      <c r="V46" s="8" t="str">
        <f t="shared" si="11"/>
        <v/>
      </c>
    </row>
    <row r="47" spans="1:22">
      <c r="A47">
        <v>7</v>
      </c>
      <c r="B47" s="53" t="str">
        <f>IF(styles!M51&lt;&gt;"",styles!M51,"")</f>
        <v/>
      </c>
      <c r="C47" s="53" t="str">
        <f t="shared" si="36"/>
        <v/>
      </c>
      <c r="D47" s="53" t="e">
        <f t="shared" si="50"/>
        <v>#NUM!</v>
      </c>
      <c r="E47" s="53" t="str">
        <f t="shared" si="51"/>
        <v/>
      </c>
      <c r="F47">
        <v>10</v>
      </c>
      <c r="G47" s="53" t="str">
        <f>IF(builder!G126&lt;&gt;"",builder!G126,IF(AND(builder!B134&lt;&gt;"",OR(builder!$B$111=builder!$AB$115,builder!$B$111=builder!$AC$115)),builder!B134,""))</f>
        <v/>
      </c>
      <c r="H47" s="53" t="str">
        <f t="shared" si="47"/>
        <v/>
      </c>
      <c r="I47" s="53" t="e">
        <f t="shared" si="48"/>
        <v>#NUM!</v>
      </c>
      <c r="J47" s="53" t="str">
        <f t="shared" si="49"/>
        <v/>
      </c>
      <c r="K47" s="24"/>
      <c r="L47" s="24"/>
      <c r="M47" s="24"/>
      <c r="P47" s="6">
        <f t="shared" si="13"/>
        <v>46</v>
      </c>
      <c r="Q47" s="53" t="str">
        <f t="shared" si="52"/>
        <v/>
      </c>
      <c r="R47" s="53" t="str">
        <f>print!B151</f>
        <v/>
      </c>
      <c r="S47" s="25" t="str">
        <f t="shared" si="45"/>
        <v/>
      </c>
      <c r="T47" s="25" t="e">
        <f t="shared" si="9"/>
        <v>#NUM!</v>
      </c>
      <c r="U47" s="25" t="str">
        <f t="shared" si="10"/>
        <v/>
      </c>
      <c r="V47" s="8" t="str">
        <f t="shared" si="11"/>
        <v/>
      </c>
    </row>
    <row r="48" spans="1:22">
      <c r="A48">
        <v>8</v>
      </c>
      <c r="B48" s="53" t="str">
        <f>IF(styles!M52&lt;&gt;"",styles!M52,"")</f>
        <v>Petty Luck</v>
      </c>
      <c r="C48" s="53">
        <f t="shared" si="36"/>
        <v>8</v>
      </c>
      <c r="D48" s="53" t="e">
        <f t="shared" si="50"/>
        <v>#NUM!</v>
      </c>
      <c r="E48" s="53" t="str">
        <f t="shared" si="51"/>
        <v/>
      </c>
      <c r="F48">
        <v>11</v>
      </c>
      <c r="G48" s="53" t="str">
        <f>IF(builder!G127&lt;&gt;"",builder!G127,IF(AND(builder!B135&lt;&gt;"",OR(builder!$B$111=builder!$AB$115,builder!$B$111=builder!$AC$115)),builder!B135,""))</f>
        <v/>
      </c>
      <c r="H48" s="53" t="str">
        <f t="shared" si="47"/>
        <v/>
      </c>
      <c r="I48" s="53" t="e">
        <f t="shared" si="48"/>
        <v>#NUM!</v>
      </c>
      <c r="J48" s="53" t="str">
        <f t="shared" si="49"/>
        <v/>
      </c>
      <c r="K48" s="24"/>
      <c r="L48" s="24"/>
      <c r="P48" s="6">
        <f t="shared" si="13"/>
        <v>47</v>
      </c>
      <c r="Q48" s="53" t="str">
        <f t="shared" si="52"/>
        <v/>
      </c>
      <c r="R48" s="53" t="str">
        <f>print!B153</f>
        <v/>
      </c>
      <c r="S48" s="25" t="str">
        <f t="shared" si="45"/>
        <v/>
      </c>
      <c r="T48" s="25" t="e">
        <f t="shared" si="9"/>
        <v>#NUM!</v>
      </c>
      <c r="U48" s="25" t="str">
        <f t="shared" si="10"/>
        <v/>
      </c>
      <c r="V48" s="8" t="str">
        <f t="shared" si="11"/>
        <v/>
      </c>
    </row>
    <row r="49" spans="1:22">
      <c r="A49">
        <v>9</v>
      </c>
      <c r="B49" s="53" t="str">
        <f>IF(styles!M53&lt;&gt;"",styles!M53,"")</f>
        <v/>
      </c>
      <c r="C49" s="53" t="str">
        <f t="shared" si="36"/>
        <v/>
      </c>
      <c r="D49" s="53" t="e">
        <f t="shared" si="50"/>
        <v>#NUM!</v>
      </c>
      <c r="E49" s="53" t="str">
        <f t="shared" si="51"/>
        <v/>
      </c>
      <c r="F49">
        <v>12</v>
      </c>
      <c r="G49" s="53" t="str">
        <f>IF(builder!G128&lt;&gt;"",builder!G128,IF(AND(builder!B136&lt;&gt;"",OR(builder!$B$111=builder!$AB$115,builder!$B$111=builder!$AC$115)),builder!B136,""))</f>
        <v/>
      </c>
      <c r="H49" s="53" t="str">
        <f t="shared" si="47"/>
        <v/>
      </c>
      <c r="I49" s="53" t="e">
        <f t="shared" si="48"/>
        <v>#NUM!</v>
      </c>
      <c r="J49" s="53" t="str">
        <f t="shared" si="49"/>
        <v/>
      </c>
      <c r="K49" s="24"/>
      <c r="L49" s="24"/>
      <c r="P49" s="6">
        <f t="shared" si="13"/>
        <v>48</v>
      </c>
      <c r="Q49" s="53" t="str">
        <f t="shared" si="52"/>
        <v/>
      </c>
      <c r="R49" s="53" t="str">
        <f>print!B155</f>
        <v/>
      </c>
      <c r="S49" s="25" t="str">
        <f t="shared" si="45"/>
        <v/>
      </c>
      <c r="T49" s="25" t="e">
        <f t="shared" si="9"/>
        <v>#NUM!</v>
      </c>
      <c r="U49" s="25" t="str">
        <f t="shared" si="10"/>
        <v/>
      </c>
      <c r="V49" s="8" t="str">
        <f t="shared" si="11"/>
        <v/>
      </c>
    </row>
    <row r="50" spans="1:22">
      <c r="A50">
        <v>10</v>
      </c>
      <c r="B50" s="53" t="str">
        <f>IF(styles!M54&lt;&gt;"",styles!M54,"")</f>
        <v/>
      </c>
      <c r="C50" s="53" t="str">
        <f t="shared" si="36"/>
        <v/>
      </c>
      <c r="D50" s="53" t="e">
        <f t="shared" si="50"/>
        <v>#NUM!</v>
      </c>
      <c r="E50" s="53" t="str">
        <f t="shared" si="51"/>
        <v/>
      </c>
      <c r="F50">
        <v>13</v>
      </c>
      <c r="G50" s="53" t="str">
        <f>IF(builder!G129&lt;&gt;"",builder!G129,IF(AND(builder!B137&lt;&gt;"",OR(builder!$B$111=builder!$AB$115,builder!$B$111=builder!$AC$115)),builder!B137,""))</f>
        <v/>
      </c>
      <c r="H50" s="53" t="str">
        <f t="shared" si="47"/>
        <v/>
      </c>
      <c r="I50" s="53" t="e">
        <f t="shared" si="48"/>
        <v>#NUM!</v>
      </c>
      <c r="J50" s="53" t="str">
        <f t="shared" si="49"/>
        <v/>
      </c>
      <c r="K50" s="24"/>
      <c r="L50" s="24"/>
      <c r="P50" s="6">
        <f t="shared" si="13"/>
        <v>49</v>
      </c>
      <c r="Q50" s="53" t="str">
        <f t="shared" si="52"/>
        <v/>
      </c>
      <c r="R50" s="53" t="str">
        <f>print!B157</f>
        <v/>
      </c>
      <c r="S50" s="25" t="str">
        <f t="shared" si="45"/>
        <v/>
      </c>
      <c r="T50" s="25" t="e">
        <f t="shared" si="9"/>
        <v>#NUM!</v>
      </c>
      <c r="U50" s="25" t="str">
        <f t="shared" si="10"/>
        <v/>
      </c>
      <c r="V50" s="8" t="str">
        <f t="shared" si="11"/>
        <v/>
      </c>
    </row>
    <row r="51" spans="1:22">
      <c r="E51" s="178"/>
      <c r="F51" s="24">
        <v>14</v>
      </c>
      <c r="G51" s="53" t="str">
        <f>IF(builder!G130&lt;&gt;"",builder!G130,IF(AND(builder!B138&lt;&gt;"",OR(builder!$B$111=builder!$AB$115,builder!$B$111=builder!$AC$115)),builder!B138,""))</f>
        <v/>
      </c>
      <c r="H51" s="53" t="str">
        <f t="shared" ref="H51" si="53">IF(G51&lt;&gt;"",F51,"")</f>
        <v/>
      </c>
      <c r="I51" s="53" t="e">
        <f t="shared" si="48"/>
        <v>#NUM!</v>
      </c>
      <c r="J51" s="53" t="str">
        <f t="shared" si="49"/>
        <v/>
      </c>
      <c r="K51" s="24"/>
      <c r="L51" s="24"/>
      <c r="P51" s="6">
        <f t="shared" si="13"/>
        <v>50</v>
      </c>
      <c r="Q51" s="53" t="str">
        <f t="shared" si="52"/>
        <v/>
      </c>
      <c r="R51" s="53" t="str">
        <f>print!B159</f>
        <v/>
      </c>
      <c r="S51" s="25" t="str">
        <f t="shared" si="45"/>
        <v/>
      </c>
      <c r="T51" s="25" t="e">
        <f t="shared" si="9"/>
        <v>#NUM!</v>
      </c>
      <c r="U51" s="25" t="str">
        <f t="shared" si="10"/>
        <v/>
      </c>
      <c r="V51" s="8" t="str">
        <f t="shared" si="11"/>
        <v/>
      </c>
    </row>
    <row r="52" spans="1:22">
      <c r="G52" s="24"/>
      <c r="H52" s="24"/>
      <c r="I52" s="24"/>
      <c r="J52" s="24"/>
      <c r="K52" s="24"/>
      <c r="L52" s="24"/>
      <c r="P52" s="6">
        <f t="shared" si="13"/>
        <v>51</v>
      </c>
      <c r="Q52" s="53" t="str">
        <f t="shared" si="52"/>
        <v/>
      </c>
      <c r="R52" s="53" t="str">
        <f>print!B161</f>
        <v/>
      </c>
      <c r="S52" s="25" t="str">
        <f t="shared" si="45"/>
        <v/>
      </c>
      <c r="T52" s="25" t="e">
        <f t="shared" si="9"/>
        <v>#NUM!</v>
      </c>
      <c r="U52" s="25" t="str">
        <f t="shared" si="10"/>
        <v/>
      </c>
      <c r="V52" s="8" t="str">
        <f t="shared" si="11"/>
        <v/>
      </c>
    </row>
    <row r="53" spans="1:22">
      <c r="P53" s="6">
        <f t="shared" si="13"/>
        <v>52</v>
      </c>
      <c r="Q53" s="53" t="str">
        <f t="shared" si="52"/>
        <v/>
      </c>
      <c r="R53" s="53" t="str">
        <f>print!B163</f>
        <v/>
      </c>
      <c r="S53" s="25" t="str">
        <f t="shared" si="45"/>
        <v/>
      </c>
      <c r="T53" s="25" t="e">
        <f t="shared" si="9"/>
        <v>#NUM!</v>
      </c>
      <c r="U53" s="25" t="str">
        <f t="shared" si="10"/>
        <v/>
      </c>
      <c r="V53" s="8" t="str">
        <f t="shared" si="11"/>
        <v/>
      </c>
    </row>
    <row r="54" spans="1:22">
      <c r="P54" s="6">
        <f t="shared" si="13"/>
        <v>53</v>
      </c>
      <c r="Q54" s="53" t="str">
        <f t="shared" si="52"/>
        <v/>
      </c>
      <c r="R54" s="53" t="str">
        <f>print!B165</f>
        <v/>
      </c>
      <c r="S54" s="25" t="str">
        <f t="shared" si="45"/>
        <v/>
      </c>
      <c r="T54" s="25" t="e">
        <f t="shared" si="9"/>
        <v>#NUM!</v>
      </c>
      <c r="U54" s="25" t="str">
        <f t="shared" si="10"/>
        <v/>
      </c>
      <c r="V54" s="8" t="str">
        <f t="shared" si="11"/>
        <v/>
      </c>
    </row>
    <row r="55" spans="1:22">
      <c r="P55" s="6">
        <f t="shared" si="13"/>
        <v>54</v>
      </c>
      <c r="Q55" s="53" t="str">
        <f t="shared" si="52"/>
        <v/>
      </c>
      <c r="R55" s="53" t="str">
        <f>print!B167</f>
        <v/>
      </c>
      <c r="S55" s="25" t="str">
        <f t="shared" si="45"/>
        <v/>
      </c>
      <c r="T55" s="25" t="e">
        <f t="shared" si="9"/>
        <v>#NUM!</v>
      </c>
      <c r="U55" s="25" t="str">
        <f t="shared" si="10"/>
        <v/>
      </c>
      <c r="V55" s="8" t="str">
        <f t="shared" si="11"/>
        <v/>
      </c>
    </row>
    <row r="56" spans="1:22">
      <c r="P56" s="175">
        <f t="shared" si="13"/>
        <v>55</v>
      </c>
      <c r="Q56" s="186" t="str">
        <f t="shared" si="52"/>
        <v/>
      </c>
      <c r="R56" s="186" t="str">
        <f>print!B169</f>
        <v/>
      </c>
      <c r="S56" s="10" t="str">
        <f t="shared" si="45"/>
        <v/>
      </c>
      <c r="T56" s="10" t="e">
        <f t="shared" si="9"/>
        <v>#NUM!</v>
      </c>
      <c r="U56" s="10" t="str">
        <f t="shared" si="10"/>
        <v/>
      </c>
      <c r="V56" s="176" t="str">
        <f t="shared" si="11"/>
        <v/>
      </c>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workbookViewId="0"/>
  </sheetViews>
  <sheetFormatPr defaultRowHeight="15"/>
  <cols>
    <col min="3" max="3" width="9.140625" style="24"/>
    <col min="4" max="4" width="10.7109375" customWidth="1"/>
  </cols>
  <sheetData>
    <row r="2" spans="2:4" s="24" customFormat="1">
      <c r="B2" s="1" t="s">
        <v>617</v>
      </c>
    </row>
    <row r="3" spans="2:4">
      <c r="B3" t="s">
        <v>582</v>
      </c>
      <c r="C3" s="24" t="s">
        <v>585</v>
      </c>
      <c r="D3" t="s">
        <v>583</v>
      </c>
    </row>
    <row r="4" spans="2:4">
      <c r="B4" t="s">
        <v>584</v>
      </c>
      <c r="C4" s="24" t="s">
        <v>586</v>
      </c>
      <c r="D4" t="s">
        <v>587</v>
      </c>
    </row>
    <row r="5" spans="2:4">
      <c r="B5" t="s">
        <v>607</v>
      </c>
      <c r="C5" t="s">
        <v>588</v>
      </c>
      <c r="D5" s="24" t="s">
        <v>589</v>
      </c>
    </row>
    <row r="6" spans="2:4">
      <c r="B6" t="s">
        <v>608</v>
      </c>
      <c r="C6" t="s">
        <v>590</v>
      </c>
      <c r="D6" s="24" t="s">
        <v>591</v>
      </c>
    </row>
    <row r="7" spans="2:4">
      <c r="B7" s="24" t="s">
        <v>609</v>
      </c>
      <c r="C7" s="24" t="s">
        <v>592</v>
      </c>
      <c r="D7" t="s">
        <v>818</v>
      </c>
    </row>
    <row r="8" spans="2:4">
      <c r="B8" t="s">
        <v>610</v>
      </c>
      <c r="C8" s="24" t="s">
        <v>593</v>
      </c>
      <c r="D8" t="s">
        <v>594</v>
      </c>
    </row>
    <row r="9" spans="2:4">
      <c r="B9" t="s">
        <v>611</v>
      </c>
      <c r="C9" s="24" t="s">
        <v>595</v>
      </c>
      <c r="D9" t="s">
        <v>596</v>
      </c>
    </row>
    <row r="10" spans="2:4">
      <c r="B10" t="s">
        <v>612</v>
      </c>
      <c r="C10" s="24" t="s">
        <v>597</v>
      </c>
      <c r="D10" t="s">
        <v>598</v>
      </c>
    </row>
    <row r="11" spans="2:4">
      <c r="B11" t="s">
        <v>613</v>
      </c>
      <c r="C11" s="24" t="s">
        <v>600</v>
      </c>
      <c r="D11" t="s">
        <v>599</v>
      </c>
    </row>
    <row r="12" spans="2:4">
      <c r="B12" t="s">
        <v>614</v>
      </c>
      <c r="C12" s="24" t="s">
        <v>601</v>
      </c>
      <c r="D12" t="s">
        <v>602</v>
      </c>
    </row>
    <row r="13" spans="2:4">
      <c r="B13" t="s">
        <v>615</v>
      </c>
      <c r="C13" s="24" t="s">
        <v>604</v>
      </c>
      <c r="D13" t="s">
        <v>603</v>
      </c>
    </row>
    <row r="14" spans="2:4">
      <c r="B14" t="s">
        <v>616</v>
      </c>
      <c r="C14" s="24" t="s">
        <v>606</v>
      </c>
      <c r="D14" t="s">
        <v>605</v>
      </c>
    </row>
    <row r="16" spans="2:4">
      <c r="B16" t="s">
        <v>609</v>
      </c>
      <c r="C16" s="24" t="s">
        <v>814</v>
      </c>
      <c r="D16" t="s">
        <v>819</v>
      </c>
    </row>
    <row r="17" spans="1:5" s="24" customFormat="1">
      <c r="B17" s="24" t="s">
        <v>609</v>
      </c>
      <c r="C17" s="24" t="s">
        <v>815</v>
      </c>
      <c r="D17" t="s">
        <v>817</v>
      </c>
    </row>
    <row r="18" spans="1:5" s="24" customFormat="1">
      <c r="B18" s="24" t="s">
        <v>609</v>
      </c>
      <c r="C18" s="24" t="s">
        <v>816</v>
      </c>
      <c r="D18" t="s">
        <v>820</v>
      </c>
    </row>
    <row r="19" spans="1:5" s="24" customFormat="1"/>
    <row r="20" spans="1:5">
      <c r="A20" s="24"/>
    </row>
    <row r="21" spans="1:5">
      <c r="A21" s="38"/>
      <c r="B21" s="1" t="s">
        <v>618</v>
      </c>
    </row>
    <row r="22" spans="1:5">
      <c r="A22" s="38"/>
      <c r="B22" t="s">
        <v>620</v>
      </c>
      <c r="C22" s="24" t="s">
        <v>619</v>
      </c>
      <c r="D22" t="s">
        <v>625</v>
      </c>
      <c r="E22" t="s">
        <v>830</v>
      </c>
    </row>
    <row r="23" spans="1:5">
      <c r="B23" t="s">
        <v>622</v>
      </c>
      <c r="C23" s="24" t="s">
        <v>619</v>
      </c>
      <c r="D23" t="s">
        <v>627</v>
      </c>
      <c r="E23" t="s">
        <v>832</v>
      </c>
    </row>
    <row r="24" spans="1:5">
      <c r="B24" t="s">
        <v>630</v>
      </c>
      <c r="C24" s="24" t="s">
        <v>619</v>
      </c>
      <c r="D24" t="s">
        <v>631</v>
      </c>
      <c r="E24" t="s">
        <v>835</v>
      </c>
    </row>
    <row r="25" spans="1:5">
      <c r="B25" t="s">
        <v>621</v>
      </c>
      <c r="C25" s="24" t="s">
        <v>619</v>
      </c>
      <c r="D25" t="s">
        <v>626</v>
      </c>
      <c r="E25" t="s">
        <v>831</v>
      </c>
    </row>
    <row r="26" spans="1:5">
      <c r="A26" s="50"/>
      <c r="B26" t="s">
        <v>623</v>
      </c>
      <c r="C26" s="24" t="s">
        <v>619</v>
      </c>
      <c r="D26" t="s">
        <v>628</v>
      </c>
      <c r="E26" t="s">
        <v>833</v>
      </c>
    </row>
    <row r="27" spans="1:5">
      <c r="B27" t="s">
        <v>624</v>
      </c>
      <c r="C27" s="24" t="s">
        <v>619</v>
      </c>
      <c r="D27" t="s">
        <v>629</v>
      </c>
      <c r="E27" t="s">
        <v>834</v>
      </c>
    </row>
    <row r="28" spans="1:5">
      <c r="B28" t="s">
        <v>632</v>
      </c>
      <c r="C28" s="24" t="s">
        <v>619</v>
      </c>
      <c r="D28" t="s">
        <v>633</v>
      </c>
      <c r="E28" t="s">
        <v>836</v>
      </c>
    </row>
    <row r="29" spans="1:5">
      <c r="B29" t="s">
        <v>654</v>
      </c>
      <c r="C29" s="24" t="s">
        <v>660</v>
      </c>
      <c r="D29" t="s">
        <v>655</v>
      </c>
      <c r="E29" t="s">
        <v>845</v>
      </c>
    </row>
    <row r="30" spans="1:5">
      <c r="B30" t="s">
        <v>646</v>
      </c>
      <c r="C30" s="24" t="s">
        <v>660</v>
      </c>
      <c r="D30" t="s">
        <v>647</v>
      </c>
      <c r="E30" t="s">
        <v>841</v>
      </c>
    </row>
    <row r="31" spans="1:5">
      <c r="B31" t="s">
        <v>644</v>
      </c>
      <c r="C31" s="24" t="s">
        <v>660</v>
      </c>
      <c r="D31" t="s">
        <v>645</v>
      </c>
      <c r="E31" s="24" t="s">
        <v>840</v>
      </c>
    </row>
    <row r="32" spans="1:5">
      <c r="B32" t="s">
        <v>642</v>
      </c>
      <c r="C32" s="24" t="s">
        <v>660</v>
      </c>
      <c r="D32" t="s">
        <v>643</v>
      </c>
      <c r="E32" t="s">
        <v>839</v>
      </c>
    </row>
    <row r="33" spans="2:18">
      <c r="B33" t="s">
        <v>636</v>
      </c>
      <c r="C33" s="24" t="s">
        <v>660</v>
      </c>
      <c r="D33" t="s">
        <v>637</v>
      </c>
      <c r="E33" t="s">
        <v>848</v>
      </c>
    </row>
    <row r="34" spans="2:18">
      <c r="B34" t="s">
        <v>648</v>
      </c>
      <c r="C34" s="24" t="s">
        <v>660</v>
      </c>
      <c r="D34" t="s">
        <v>649</v>
      </c>
      <c r="E34" t="s">
        <v>842</v>
      </c>
    </row>
    <row r="35" spans="2:18">
      <c r="B35" t="s">
        <v>634</v>
      </c>
      <c r="C35" s="24" t="s">
        <v>660</v>
      </c>
      <c r="D35" t="s">
        <v>635</v>
      </c>
      <c r="E35" t="s">
        <v>837</v>
      </c>
    </row>
    <row r="36" spans="2:18">
      <c r="B36" t="s">
        <v>638</v>
      </c>
      <c r="C36" s="24" t="s">
        <v>660</v>
      </c>
      <c r="D36" t="s">
        <v>639</v>
      </c>
      <c r="E36" t="s">
        <v>849</v>
      </c>
    </row>
    <row r="37" spans="2:18">
      <c r="B37" t="s">
        <v>656</v>
      </c>
      <c r="C37" s="24" t="s">
        <v>660</v>
      </c>
      <c r="D37" t="s">
        <v>657</v>
      </c>
      <c r="E37" t="s">
        <v>846</v>
      </c>
    </row>
    <row r="38" spans="2:18">
      <c r="B38" t="s">
        <v>650</v>
      </c>
      <c r="C38" s="24" t="s">
        <v>660</v>
      </c>
      <c r="D38" t="s">
        <v>651</v>
      </c>
      <c r="E38" t="s">
        <v>843</v>
      </c>
    </row>
    <row r="39" spans="2:18">
      <c r="B39" t="s">
        <v>640</v>
      </c>
      <c r="C39" s="24" t="s">
        <v>660</v>
      </c>
      <c r="D39" t="s">
        <v>641</v>
      </c>
      <c r="E39" t="s">
        <v>838</v>
      </c>
    </row>
    <row r="40" spans="2:18">
      <c r="B40" t="s">
        <v>658</v>
      </c>
      <c r="C40" s="24" t="s">
        <v>660</v>
      </c>
      <c r="D40" t="s">
        <v>659</v>
      </c>
      <c r="E40" t="s">
        <v>847</v>
      </c>
    </row>
    <row r="41" spans="2:18">
      <c r="B41" t="s">
        <v>652</v>
      </c>
      <c r="C41" s="24" t="s">
        <v>660</v>
      </c>
      <c r="D41" t="s">
        <v>653</v>
      </c>
      <c r="E41" t="s">
        <v>844</v>
      </c>
    </row>
    <row r="43" spans="2:18">
      <c r="B43" s="1" t="s">
        <v>263</v>
      </c>
    </row>
    <row r="44" spans="2:18">
      <c r="C44" s="24" t="s">
        <v>619</v>
      </c>
      <c r="D44" t="s">
        <v>660</v>
      </c>
      <c r="F44" s="39" t="s">
        <v>619</v>
      </c>
      <c r="G44" s="4"/>
      <c r="H44" s="40" t="str">
        <f>builder!F114</f>
        <v/>
      </c>
      <c r="I44" s="12"/>
      <c r="K44" s="39" t="s">
        <v>660</v>
      </c>
      <c r="L44" s="4"/>
      <c r="M44" s="40" t="str">
        <f>builder!H114</f>
        <v/>
      </c>
      <c r="N44" s="12"/>
      <c r="O44" s="24"/>
    </row>
    <row r="45" spans="2:18">
      <c r="B45" s="24" t="s">
        <v>661</v>
      </c>
      <c r="C45" s="24" t="s">
        <v>104</v>
      </c>
      <c r="D45" t="s">
        <v>106</v>
      </c>
      <c r="F45" s="6" t="s">
        <v>705</v>
      </c>
      <c r="G45" s="25" t="s">
        <v>105</v>
      </c>
      <c r="H45" s="8" t="str">
        <f>IF($H$44=G45,F45,"")</f>
        <v/>
      </c>
      <c r="I45" s="13" t="s">
        <v>861</v>
      </c>
      <c r="K45" s="6" t="s">
        <v>703</v>
      </c>
      <c r="L45" s="25" t="s">
        <v>105</v>
      </c>
      <c r="M45" s="8" t="str">
        <f>IF($M$44=L45,K45,"")</f>
        <v/>
      </c>
      <c r="N45" s="13" t="s">
        <v>863</v>
      </c>
      <c r="Q45" s="24"/>
      <c r="R45" s="24"/>
    </row>
    <row r="46" spans="2:18">
      <c r="B46" t="s">
        <v>662</v>
      </c>
      <c r="C46" s="24" t="s">
        <v>106</v>
      </c>
      <c r="D46" t="s">
        <v>102</v>
      </c>
      <c r="F46" s="6" t="s">
        <v>701</v>
      </c>
      <c r="G46" s="25" t="s">
        <v>104</v>
      </c>
      <c r="H46" s="8" t="str">
        <f>IF($H$44=G46,F46,"")</f>
        <v/>
      </c>
      <c r="I46" s="13" t="s">
        <v>859</v>
      </c>
      <c r="K46" s="6" t="s">
        <v>692</v>
      </c>
      <c r="L46" s="25" t="s">
        <v>103</v>
      </c>
      <c r="M46" s="8" t="str">
        <f>IF($M$44=L46,K46,"")</f>
        <v/>
      </c>
      <c r="N46" s="13" t="s">
        <v>864</v>
      </c>
      <c r="Q46" s="24"/>
      <c r="R46" s="24"/>
    </row>
    <row r="47" spans="2:18">
      <c r="B47" t="s">
        <v>663</v>
      </c>
      <c r="C47" s="24" t="s">
        <v>103</v>
      </c>
      <c r="D47" t="s">
        <v>105</v>
      </c>
      <c r="F47" s="6" t="s">
        <v>114</v>
      </c>
      <c r="G47" s="25" t="s">
        <v>103</v>
      </c>
      <c r="H47" s="8" t="str">
        <f>IF($H$44=G47,F47,"")</f>
        <v/>
      </c>
      <c r="I47" s="13" t="s">
        <v>855</v>
      </c>
      <c r="K47" s="6" t="s">
        <v>683</v>
      </c>
      <c r="L47" s="25" t="s">
        <v>681</v>
      </c>
      <c r="M47" s="8" t="s">
        <v>683</v>
      </c>
      <c r="N47" s="13" t="s">
        <v>870</v>
      </c>
      <c r="Q47" s="24"/>
      <c r="R47" s="24"/>
    </row>
    <row r="48" spans="2:18">
      <c r="B48" t="s">
        <v>664</v>
      </c>
      <c r="C48" s="24" t="s">
        <v>104</v>
      </c>
      <c r="D48" t="s">
        <v>103</v>
      </c>
      <c r="F48" s="6" t="s">
        <v>687</v>
      </c>
      <c r="G48" s="25" t="s">
        <v>681</v>
      </c>
      <c r="H48" s="8" t="s">
        <v>687</v>
      </c>
      <c r="I48" s="13" t="s">
        <v>852</v>
      </c>
      <c r="K48" s="6" t="s">
        <v>684</v>
      </c>
      <c r="L48" s="25" t="s">
        <v>681</v>
      </c>
      <c r="M48" s="8" t="s">
        <v>684</v>
      </c>
      <c r="N48" s="13" t="s">
        <v>872</v>
      </c>
      <c r="Q48" s="24"/>
      <c r="R48" s="24"/>
    </row>
    <row r="49" spans="2:19">
      <c r="B49" t="s">
        <v>665</v>
      </c>
      <c r="C49" s="24" t="s">
        <v>102</v>
      </c>
      <c r="D49" t="s">
        <v>104</v>
      </c>
      <c r="F49" s="6" t="s">
        <v>686</v>
      </c>
      <c r="G49" s="25" t="s">
        <v>681</v>
      </c>
      <c r="H49" s="8" t="s">
        <v>686</v>
      </c>
      <c r="I49" s="13" t="s">
        <v>851</v>
      </c>
      <c r="K49" s="6" t="s">
        <v>696</v>
      </c>
      <c r="L49" s="25" t="s">
        <v>106</v>
      </c>
      <c r="M49" s="8" t="str">
        <f>IF($M$44=L49,K49,"")</f>
        <v/>
      </c>
      <c r="N49" s="13" t="s">
        <v>866</v>
      </c>
      <c r="Q49" s="24"/>
      <c r="R49" s="24"/>
    </row>
    <row r="50" spans="2:19">
      <c r="B50" t="s">
        <v>666</v>
      </c>
      <c r="C50" s="24" t="s">
        <v>102</v>
      </c>
      <c r="D50" t="s">
        <v>105</v>
      </c>
      <c r="F50" s="6" t="s">
        <v>685</v>
      </c>
      <c r="G50" s="25" t="s">
        <v>681</v>
      </c>
      <c r="H50" s="8" t="s">
        <v>685</v>
      </c>
      <c r="I50" s="13" t="s">
        <v>850</v>
      </c>
      <c r="K50" s="6" t="s">
        <v>700</v>
      </c>
      <c r="L50" s="25" t="s">
        <v>104</v>
      </c>
      <c r="M50" s="8" t="str">
        <f>IF($M$44=L50,K50,"")</f>
        <v/>
      </c>
      <c r="N50" s="13" t="s">
        <v>873</v>
      </c>
      <c r="Q50" s="24"/>
      <c r="R50" s="24"/>
    </row>
    <row r="51" spans="2:19">
      <c r="B51" t="s">
        <v>667</v>
      </c>
      <c r="C51" s="24" t="s">
        <v>106</v>
      </c>
      <c r="D51" t="s">
        <v>105</v>
      </c>
      <c r="F51" s="6" t="s">
        <v>702</v>
      </c>
      <c r="G51" s="25" t="s">
        <v>104</v>
      </c>
      <c r="H51" s="8" t="str">
        <f t="shared" ref="H51:H57" si="0">IF($H$44=G51,F51,"")</f>
        <v/>
      </c>
      <c r="I51" s="13" t="s">
        <v>860</v>
      </c>
      <c r="K51" s="6" t="s">
        <v>699</v>
      </c>
      <c r="L51" s="25" t="s">
        <v>104</v>
      </c>
      <c r="M51" s="8" t="str">
        <f>IF($M$44=L51,K51,"")</f>
        <v/>
      </c>
      <c r="N51" s="13" t="s">
        <v>874</v>
      </c>
      <c r="Q51" s="24"/>
      <c r="R51" s="24"/>
    </row>
    <row r="52" spans="2:19">
      <c r="B52" t="s">
        <v>668</v>
      </c>
      <c r="C52" s="24" t="s">
        <v>105</v>
      </c>
      <c r="D52" t="s">
        <v>103</v>
      </c>
      <c r="F52" s="6" t="s">
        <v>690</v>
      </c>
      <c r="G52" s="25" t="s">
        <v>102</v>
      </c>
      <c r="H52" s="8" t="str">
        <f t="shared" si="0"/>
        <v/>
      </c>
      <c r="I52" s="13" t="s">
        <v>853</v>
      </c>
      <c r="K52" s="6" t="s">
        <v>682</v>
      </c>
      <c r="L52" s="25" t="s">
        <v>681</v>
      </c>
      <c r="M52" s="8" t="s">
        <v>682</v>
      </c>
      <c r="N52" s="13" t="s">
        <v>871</v>
      </c>
      <c r="Q52" s="24"/>
      <c r="R52" s="24"/>
    </row>
    <row r="53" spans="2:19">
      <c r="B53" t="s">
        <v>669</v>
      </c>
      <c r="C53" s="24" t="s">
        <v>105</v>
      </c>
      <c r="D53" t="s">
        <v>104</v>
      </c>
      <c r="F53" s="6" t="s">
        <v>697</v>
      </c>
      <c r="G53" s="25" t="s">
        <v>106</v>
      </c>
      <c r="H53" s="8" t="str">
        <f t="shared" si="0"/>
        <v/>
      </c>
      <c r="I53" s="13" t="s">
        <v>857</v>
      </c>
      <c r="K53" s="6" t="s">
        <v>688</v>
      </c>
      <c r="L53" s="25" t="s">
        <v>102</v>
      </c>
      <c r="M53" s="8" t="str">
        <f>IF($M$44=L53,K53,"")</f>
        <v/>
      </c>
      <c r="N53" s="13" t="s">
        <v>867</v>
      </c>
      <c r="Q53" s="24"/>
      <c r="R53" s="24"/>
    </row>
    <row r="54" spans="2:19">
      <c r="B54" t="s">
        <v>670</v>
      </c>
      <c r="C54" s="24" t="s">
        <v>106</v>
      </c>
      <c r="D54" t="s">
        <v>104</v>
      </c>
      <c r="F54" s="6" t="s">
        <v>706</v>
      </c>
      <c r="G54" s="25" t="s">
        <v>105</v>
      </c>
      <c r="H54" s="8" t="str">
        <f t="shared" si="0"/>
        <v/>
      </c>
      <c r="I54" s="13" t="s">
        <v>862</v>
      </c>
      <c r="K54" s="6" t="s">
        <v>695</v>
      </c>
      <c r="L54" s="25" t="s">
        <v>106</v>
      </c>
      <c r="M54" s="8" t="str">
        <f>IF($M$44=L54,K54,"")</f>
        <v/>
      </c>
      <c r="N54" s="13" t="s">
        <v>869</v>
      </c>
      <c r="Q54" s="24"/>
      <c r="R54" s="24"/>
    </row>
    <row r="55" spans="2:19">
      <c r="B55" t="s">
        <v>671</v>
      </c>
      <c r="C55" s="24" t="s">
        <v>105</v>
      </c>
      <c r="D55" t="s">
        <v>106</v>
      </c>
      <c r="F55" s="6" t="s">
        <v>691</v>
      </c>
      <c r="G55" s="25" t="s">
        <v>102</v>
      </c>
      <c r="H55" s="8" t="str">
        <f t="shared" si="0"/>
        <v/>
      </c>
      <c r="I55" s="13" t="s">
        <v>854</v>
      </c>
      <c r="K55" s="6" t="s">
        <v>689</v>
      </c>
      <c r="L55" s="25" t="s">
        <v>102</v>
      </c>
      <c r="M55" s="8" t="str">
        <f>IF($M$44=L55,K55,"")</f>
        <v/>
      </c>
      <c r="N55" s="13" t="s">
        <v>868</v>
      </c>
      <c r="Q55" s="24"/>
      <c r="R55" s="24"/>
    </row>
    <row r="56" spans="2:19">
      <c r="B56" t="s">
        <v>672</v>
      </c>
      <c r="C56" s="24" t="s">
        <v>103</v>
      </c>
      <c r="D56" t="s">
        <v>102</v>
      </c>
      <c r="F56" s="6" t="s">
        <v>698</v>
      </c>
      <c r="G56" s="25" t="s">
        <v>106</v>
      </c>
      <c r="H56" s="8" t="str">
        <f t="shared" si="0"/>
        <v/>
      </c>
      <c r="I56" s="13" t="s">
        <v>856</v>
      </c>
      <c r="K56" s="6" t="s">
        <v>704</v>
      </c>
      <c r="L56" s="25" t="s">
        <v>105</v>
      </c>
      <c r="M56" s="8" t="str">
        <f>IF($M$44=L56,K56,"")</f>
        <v/>
      </c>
      <c r="N56" s="13" t="s">
        <v>875</v>
      </c>
      <c r="Q56" s="24"/>
      <c r="R56" s="24"/>
    </row>
    <row r="57" spans="2:19">
      <c r="B57" t="s">
        <v>673</v>
      </c>
      <c r="C57" s="24" t="s">
        <v>104</v>
      </c>
      <c r="D57" t="s">
        <v>105</v>
      </c>
      <c r="F57" s="57" t="s">
        <v>694</v>
      </c>
      <c r="G57" s="10" t="s">
        <v>103</v>
      </c>
      <c r="H57" s="58" t="str">
        <f t="shared" si="0"/>
        <v/>
      </c>
      <c r="I57" s="14" t="s">
        <v>858</v>
      </c>
      <c r="K57" s="57" t="s">
        <v>693</v>
      </c>
      <c r="L57" s="10" t="s">
        <v>103</v>
      </c>
      <c r="M57" s="58" t="str">
        <f>IF($M$44=L57,K57,"")</f>
        <v/>
      </c>
      <c r="N57" s="14" t="s">
        <v>865</v>
      </c>
      <c r="Q57" s="24"/>
      <c r="R57" s="24"/>
    </row>
    <row r="58" spans="2:19">
      <c r="B58" t="s">
        <v>674</v>
      </c>
      <c r="C58" s="24" t="s">
        <v>102</v>
      </c>
      <c r="D58" t="s">
        <v>106</v>
      </c>
      <c r="J58" s="24"/>
      <c r="K58" s="24"/>
      <c r="L58" s="24"/>
      <c r="M58" s="24"/>
      <c r="N58" s="24"/>
      <c r="P58" s="24"/>
      <c r="Q58" s="24"/>
      <c r="R58" s="24"/>
      <c r="S58" s="24"/>
    </row>
    <row r="59" spans="2:19">
      <c r="B59" t="s">
        <v>675</v>
      </c>
      <c r="C59" s="24" t="s">
        <v>103</v>
      </c>
      <c r="D59" t="s">
        <v>104</v>
      </c>
      <c r="J59" s="24"/>
      <c r="K59" s="24"/>
      <c r="L59" s="24"/>
      <c r="M59" s="24"/>
      <c r="N59" s="24"/>
      <c r="P59" s="24"/>
      <c r="Q59" s="24"/>
      <c r="R59" s="24"/>
      <c r="S59" s="24"/>
    </row>
    <row r="60" spans="2:19">
      <c r="B60" t="s">
        <v>676</v>
      </c>
      <c r="C60" s="24" t="s">
        <v>103</v>
      </c>
      <c r="D60" t="s">
        <v>106</v>
      </c>
      <c r="J60" s="24"/>
      <c r="K60" s="24"/>
      <c r="L60" s="24"/>
      <c r="M60" s="24"/>
      <c r="N60" s="24"/>
      <c r="P60" s="24"/>
      <c r="Q60" s="24"/>
      <c r="R60" s="24"/>
      <c r="S60" s="24"/>
    </row>
    <row r="61" spans="2:19">
      <c r="B61" t="s">
        <v>677</v>
      </c>
      <c r="C61" s="24" t="s">
        <v>106</v>
      </c>
      <c r="D61" t="s">
        <v>103</v>
      </c>
      <c r="J61" s="24"/>
      <c r="K61" s="24"/>
      <c r="L61" s="24"/>
      <c r="M61" s="24"/>
      <c r="N61" s="24"/>
      <c r="R61" s="24"/>
    </row>
    <row r="62" spans="2:19">
      <c r="B62" t="s">
        <v>678</v>
      </c>
      <c r="C62" s="24" t="s">
        <v>105</v>
      </c>
      <c r="D62" t="s">
        <v>102</v>
      </c>
      <c r="N62" s="24"/>
    </row>
    <row r="63" spans="2:19">
      <c r="B63" t="s">
        <v>679</v>
      </c>
      <c r="C63" s="24" t="s">
        <v>104</v>
      </c>
      <c r="D63" t="s">
        <v>102</v>
      </c>
    </row>
    <row r="64" spans="2:19">
      <c r="B64" t="s">
        <v>680</v>
      </c>
      <c r="C64" s="24" t="s">
        <v>102</v>
      </c>
      <c r="D64" t="s">
        <v>103</v>
      </c>
    </row>
    <row r="65" spans="2:9">
      <c r="I65" s="51" t="s">
        <v>710</v>
      </c>
    </row>
    <row r="67" spans="2:9">
      <c r="B67" s="51" t="s">
        <v>712</v>
      </c>
      <c r="C67" s="24" t="s">
        <v>619</v>
      </c>
      <c r="D67" s="24" t="s">
        <v>660</v>
      </c>
      <c r="E67" s="24" t="s">
        <v>660</v>
      </c>
      <c r="F67" s="24" t="s">
        <v>619</v>
      </c>
      <c r="I67" s="51" t="s">
        <v>711</v>
      </c>
    </row>
    <row r="68" spans="2:9">
      <c r="B68" s="24"/>
      <c r="C68" s="24" t="str">
        <f>IF(COUNTIF(builder!$G$117:$I$129,styles!D68),styles!D68,"")</f>
        <v/>
      </c>
      <c r="D68" s="24" t="s">
        <v>18</v>
      </c>
      <c r="E68" t="s">
        <v>903</v>
      </c>
      <c r="F68" s="24" t="s">
        <v>904</v>
      </c>
      <c r="I68" t="s">
        <v>720</v>
      </c>
    </row>
    <row r="69" spans="2:9">
      <c r="C69" s="24" t="str">
        <f>IF(COUNTIF(builder!$G$117:$I$129,styles!D69),styles!D69,"")</f>
        <v/>
      </c>
      <c r="D69" s="24" t="s">
        <v>716</v>
      </c>
      <c r="E69" t="s">
        <v>905</v>
      </c>
      <c r="F69" s="24" t="s">
        <v>906</v>
      </c>
      <c r="I69" t="s">
        <v>721</v>
      </c>
    </row>
    <row r="70" spans="2:9">
      <c r="C70" s="24" t="str">
        <f>IF(COUNTIF(builder!$G$117:$I$129,styles!D70),styles!D70,"")</f>
        <v/>
      </c>
      <c r="D70" s="24" t="s">
        <v>717</v>
      </c>
      <c r="E70" s="24" t="s">
        <v>907</v>
      </c>
      <c r="F70" s="24" t="s">
        <v>908</v>
      </c>
      <c r="H70" s="24"/>
      <c r="I70" t="s">
        <v>722</v>
      </c>
    </row>
    <row r="71" spans="2:9">
      <c r="C71" s="24" t="str">
        <f>IF(COUNTIF(builder!$G$117:$I$129,styles!D71),styles!D71,"")</f>
        <v/>
      </c>
      <c r="D71" s="24" t="s">
        <v>718</v>
      </c>
      <c r="E71" t="s">
        <v>909</v>
      </c>
      <c r="F71" t="s">
        <v>910</v>
      </c>
      <c r="G71" s="24" t="s">
        <v>911</v>
      </c>
      <c r="H71" s="24"/>
      <c r="I71" t="s">
        <v>723</v>
      </c>
    </row>
    <row r="72" spans="2:9">
      <c r="D72" s="24" t="s">
        <v>719</v>
      </c>
      <c r="E72" t="s">
        <v>902</v>
      </c>
      <c r="H72" s="24"/>
      <c r="I72" t="s">
        <v>724</v>
      </c>
    </row>
    <row r="73" spans="2:9">
      <c r="H73" s="24"/>
      <c r="I73" t="s">
        <v>725</v>
      </c>
    </row>
    <row r="74" spans="2:9">
      <c r="H74" s="24"/>
      <c r="I74" t="s">
        <v>726</v>
      </c>
    </row>
    <row r="75" spans="2:9">
      <c r="H75" s="24"/>
    </row>
    <row r="76" spans="2:9">
      <c r="B76" s="51" t="s">
        <v>727</v>
      </c>
    </row>
    <row r="77" spans="2:9">
      <c r="B77" t="s">
        <v>728</v>
      </c>
      <c r="C77" t="s">
        <v>729</v>
      </c>
      <c r="D77" t="s">
        <v>880</v>
      </c>
    </row>
    <row r="78" spans="2:9">
      <c r="B78" t="s">
        <v>730</v>
      </c>
      <c r="C78" t="s">
        <v>731</v>
      </c>
      <c r="D78" s="24" t="s">
        <v>881</v>
      </c>
    </row>
    <row r="79" spans="2:9">
      <c r="B79" t="s">
        <v>732</v>
      </c>
      <c r="C79" t="s">
        <v>733</v>
      </c>
      <c r="D79" s="24" t="s">
        <v>882</v>
      </c>
    </row>
    <row r="80" spans="2:9">
      <c r="B80" t="s">
        <v>739</v>
      </c>
      <c r="C80" t="s">
        <v>740</v>
      </c>
      <c r="D80" s="24" t="s">
        <v>883</v>
      </c>
    </row>
    <row r="81" spans="2:5">
      <c r="B81" t="s">
        <v>734</v>
      </c>
      <c r="C81" t="s">
        <v>735</v>
      </c>
      <c r="D81" s="24" t="s">
        <v>884</v>
      </c>
    </row>
    <row r="82" spans="2:5">
      <c r="B82" t="s">
        <v>736</v>
      </c>
      <c r="C82" t="s">
        <v>737</v>
      </c>
      <c r="D82" s="24" t="s">
        <v>885</v>
      </c>
    </row>
    <row r="83" spans="2:5">
      <c r="B83" t="s">
        <v>723</v>
      </c>
      <c r="C83" t="s">
        <v>738</v>
      </c>
      <c r="D83" s="24" t="s">
        <v>738</v>
      </c>
    </row>
    <row r="84" spans="2:5">
      <c r="B84" t="s">
        <v>741</v>
      </c>
      <c r="C84" t="s">
        <v>742</v>
      </c>
      <c r="D84" s="24" t="s">
        <v>886</v>
      </c>
    </row>
    <row r="86" spans="2:5">
      <c r="B86" t="s">
        <v>743</v>
      </c>
      <c r="C86" t="s">
        <v>744</v>
      </c>
      <c r="D86" t="s">
        <v>745</v>
      </c>
      <c r="E86" t="s">
        <v>876</v>
      </c>
    </row>
    <row r="87" spans="2:5">
      <c r="B87" t="s">
        <v>746</v>
      </c>
      <c r="C87" t="s">
        <v>747</v>
      </c>
      <c r="D87" t="s">
        <v>748</v>
      </c>
      <c r="E87" s="24" t="s">
        <v>877</v>
      </c>
    </row>
    <row r="88" spans="2:5">
      <c r="B88" t="s">
        <v>749</v>
      </c>
      <c r="C88" t="s">
        <v>750</v>
      </c>
      <c r="D88" t="s">
        <v>751</v>
      </c>
      <c r="E88" s="24" t="s">
        <v>878</v>
      </c>
    </row>
    <row r="89" spans="2:5">
      <c r="B89" t="s">
        <v>752</v>
      </c>
      <c r="C89" t="s">
        <v>753</v>
      </c>
      <c r="D89" t="s">
        <v>754</v>
      </c>
      <c r="E89" s="24" t="s">
        <v>879</v>
      </c>
    </row>
    <row r="90" spans="2:5">
      <c r="B90" t="s">
        <v>755</v>
      </c>
      <c r="C90" t="s">
        <v>756</v>
      </c>
      <c r="D90" t="s">
        <v>757</v>
      </c>
      <c r="E90" s="24" t="s">
        <v>887</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print</vt:lpstr>
      <vt:lpstr>sheet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2016-07-06T18:12:31Z</cp:lastPrinted>
  <dcterms:created xsi:type="dcterms:W3CDTF">2016-06-14T20:11:28Z</dcterms:created>
  <dcterms:modified xsi:type="dcterms:W3CDTF">2016-07-08T15:29:14Z</dcterms:modified>
</cp:coreProperties>
</file>